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crccparis.sharepoint.com/sites/GTCRCCdeParisDurabilit/Documents partages/Général/"/>
    </mc:Choice>
  </mc:AlternateContent>
  <xr:revisionPtr revIDLastSave="0" documentId="13_ncr:1_{8091E9DF-5420-413F-9982-B76D93D8E0D0}" xr6:coauthVersionLast="47" xr6:coauthVersionMax="47" xr10:uidLastSave="{00000000-0000-0000-0000-000000000000}"/>
  <bookViews>
    <workbookView xWindow="28690" yWindow="-110" windowWidth="29020" windowHeight="16420" tabRatio="672" xr2:uid="{2424E359-BB1A-4C61-AEBD-805991FC6353}"/>
  </bookViews>
  <sheets>
    <sheet name="Introduction" sheetId="4" r:id="rId1"/>
    <sheet name="Table des matières &amp; Validation" sheetId="16" r:id="rId2"/>
    <sheet name="Informations générales" sheetId="3" r:id="rId3"/>
    <sheet name="Informations environnementales" sheetId="1" r:id="rId4"/>
    <sheet name="Informations de gouvernance" sheetId="7" r:id="rId5"/>
    <sheet name="Informations sociales" sheetId="12" r:id="rId6"/>
    <sheet name="Convertisseur combustibles" sheetId="8" r:id="rId7"/>
    <sheet name="Paramètres conversion combustib" sheetId="15" r:id="rId8"/>
    <sheet name="Convertisseur unités de mesure" sheetId="9" r:id="rId9"/>
    <sheet name="Licence" sheetId="14" r:id="rId10"/>
    <sheet name="Listes" sheetId="6" r:id="rId11"/>
    <sheet name="Fiche technique" sheetId="11" r:id="rId12"/>
  </sheets>
  <definedNames>
    <definedName name="AddressOfSite">'Informations générales'!$D$108:$D$132</definedName>
    <definedName name="AmountOfEmissionsTable">'Informations environnementales'!$D$80:$K$119</definedName>
    <definedName name="AmountOfEmissionToAir">'Informations environnementales'!$G$80:$I$119</definedName>
    <definedName name="AmountOfEmissionToAir_unit">'Informations environnementales'!$C$78</definedName>
    <definedName name="AmountOfEmissionToSoil">'Informations environnementales'!$K$80:$K$119</definedName>
    <definedName name="AmountOfEmissionToSoil_unit">'Informations environnementales'!$C$78</definedName>
    <definedName name="AmountOfEmissionToWater">'Informations environnementales'!$J$80:$J$119</definedName>
    <definedName name="AmountOfEmissionToWater_unit">'Informations environnementales'!$C$78</definedName>
    <definedName name="AmountOfWaterWithdrawnAtSitesLocatedInAreasOfHighWaterStress">'Informations environnementales'!$D$170</definedName>
    <definedName name="AreaOfSiteInBiodiversitySensitiveArea">'Informations environnementales'!$G$128:$I$153</definedName>
    <definedName name="AreaOfSiteInBiodiversitySensitiveArea_unit">'Informations environnementales'!$C$126</definedName>
    <definedName name="Assets">'Informations générales'!$E$60</definedName>
    <definedName name="AverageNumberOfAnnualTrainingHoursPerFemaleEmployee">'Informations sociales'!$D$67</definedName>
    <definedName name="AverageNumberOfAnnualTrainingHoursPerMaleEmployee">'Informations sociales'!$D$66</definedName>
    <definedName name="AverageNumberOfAnnualTrainingHoursPerNonReportedGenderEmployee">'Informations sociales'!$D$69</definedName>
    <definedName name="AverageNumberOfAnnualTrainingHoursPerOtherGenderEmployee">'Informations sociales'!$D$68</definedName>
    <definedName name="BaselineYearMember">'Informations environnementales'!$G$21</definedName>
    <definedName name="BasisForPreparation">'Informations générales'!$E$32</definedName>
    <definedName name="BasisForReporting">'Informations générales'!$E$42</definedName>
    <definedName name="BreakdownOfAnnualMassFlowOfRelevantMaterialsUsedByTheUndertakingHypercube">'Informations environnementales'!$C$216:$I$230</definedName>
    <definedName name="BreakdownOfEnergyConsumptionAxis">'Informations environnementales'!$C$12:$F$14</definedName>
    <definedName name="BreakdownOfEnergyConsumptionTable">'Informations environnementales'!$G$12:$K$14</definedName>
    <definedName name="CityOfSite">'Informations générales'!$F$108:$F$132</definedName>
    <definedName name="CountryOfEmploymentContractAxis">'Informations sociales'!$C$28:$D$37</definedName>
    <definedName name="CountryOfPrimaryOperationsAndLocationOfSignificantAssets">'Informations générales'!$E$65</definedName>
    <definedName name="CountryOfSite">'Informations générales'!$G$108:$G$132</definedName>
    <definedName name="DateOfAdoptionOfTransitionPlanForUndertakingNotHavingAdoptedTransitionPlanYet">'Informations environnementales'!$D$62</definedName>
    <definedName name="DescriptionOfActionsTakeToAddressTheConfirmedIncidents">'Informations sociales'!$D$101</definedName>
    <definedName name="DescriptionOfATargetRelatedToAPolicy">'Informations générales'!$E$149</definedName>
    <definedName name="DescriptionOfATransitionPlanForClimateChangeMitigationIncludingAnExplanationOfHowItIsContributingToReduceGhgEmissions">'Informations environnementales'!$D$58</definedName>
    <definedName name="DescriptionOfClimateRelatedHazardsAndClimateRelatedTransitionEvents">'Informations environnementales'!$E$236</definedName>
    <definedName name="DescriptionOfHowCircularEconomyPrinciplesAreApplied">'Informations environnementales'!$D$183</definedName>
    <definedName name="DescriptionOfKeyElementsOfStrategyThatRelatesToOrAffectsSustainabilityIssues">'Informations générales'!$E$160</definedName>
    <definedName name="DescriptionOfLimitsToTheDistributionOfProfitsConnectedToTheMutualisticNatureOrToTheNatureOfTheActivitiesConsistingInServicesOfGeneralEconomicInterestSGEI">'Informations générales'!$D$145</definedName>
    <definedName name="DescriptionOfMainBusinessRelationships">'Informations générales'!$E$156</definedName>
    <definedName name="DescriptionOfPracticesPoliciesAndOrFutureInitiatives">'Informations générales'!$E$148</definedName>
    <definedName name="DescriptionOfSignificantGroupsOfProductsAndOrServicesOffered">'Informations générales'!$E$154</definedName>
    <definedName name="DescriptionOfSignificantMarketsTheUndertakingOperatesIn">'Informations générales'!$E$155</definedName>
    <definedName name="DescriptionOfSustainabilityRelatedCertificationsOrLabels">'Informations générales'!$E$100</definedName>
    <definedName name="DescriptionOfTheEffectiveParticipationOfWorkersUsersOrOtherinterestedPartiesOrCommunitiesInGovernance">'Informations générales'!$D$143</definedName>
    <definedName name="DisclosureOfAnyOtherEnvironmentalAndOrEntitySpecificEnvironmentalDisclosures">'Informations environnementales'!$C$244</definedName>
    <definedName name="DisclosureOfAnyOtherGeneralAndOrEntitySpecificInformation">'Informations générales'!$C$164</definedName>
    <definedName name="DisclosureOfAnyOtherGovernanceAndOrEntitySpecificGovernanceDisclosures">'Informations de gouvernance'!$C$38</definedName>
    <definedName name="DisclosureOfAnyOtherSocialAndOrEntitySpecificSocialDisclosures">'Informations sociales'!$C$109</definedName>
    <definedName name="DisclosureOfHowItHasAssessedTheExposureAndSensitivityOfItsAssetsActivitiesAndValueChainToTheseHazardsAndTransitionEvents">'Informations environnementales'!$E$237</definedName>
    <definedName name="DisclosureOfListOfMainActionsTheEntitySeeksInOrderToAchieveItsTargets">'Informations environnementales'!$C$52</definedName>
    <definedName name="DisclosureOfWhetherItHasUndertakenClimateChangeAdaptationActionsForAnyClimateRelatedHazardsAndTransitionEvents">'Informations environnementales'!$E$239</definedName>
    <definedName name="EmployeeCountingMethodology">'Informations générales'!$E$63</definedName>
    <definedName name="EmployeesReceivePayEqualOrAboveMinimumWageDeterminedByNationalLawOrCollectiveAgreement">'Informations sociales'!$D$56</definedName>
    <definedName name="EmployeeTurnoverRate">'Informations sociales'!$D$46</definedName>
    <definedName name="EnergyConsumptionFromElectricity_NonRenewableEnergyMember">'Informations environnementales'!$J$12</definedName>
    <definedName name="EnergyConsumptionFromElectricity_RenewableEnergyMember">'Informations environnementales'!$G$12</definedName>
    <definedName name="EnergyConsumptionFromElectricity_TotalRenewableAndNonRenewableEnergyMember">'Informations environnementales'!$K$12</definedName>
    <definedName name="EnergyConsumptionFromFuels_NonRenewableEnergyMember">'Informations environnementales'!$J$14</definedName>
    <definedName name="EnergyConsumptionFromFuels_RenewableEnergyMember">'Informations environnementales'!$G$14</definedName>
    <definedName name="EnergyConsumptionFromFuels_TotalRenewableAndNonRenewableEnergyMember">'Informations environnementales'!$K$14</definedName>
    <definedName name="EnergyConsumptionFromSelfGeneratedElectricity_NonRenewableEnergyMember">'Informations environnementales'!$J$13</definedName>
    <definedName name="EnergyConsumptionFromSelfGeneratedElectricity_RenewableEnergyMember">'Informations environnementales'!$G$13</definedName>
    <definedName name="EnergyConsumptionFromSelfGeneratedElectricity_TotalRenewableAndNonRenewableEnergyMember">'Informations environnementales'!$K$13</definedName>
    <definedName name="enum_B2">Listes!$R$2:$R$4</definedName>
    <definedName name="enum_employee_methodology">Listes!$AB$2:$AB$3</definedName>
    <definedName name="enum_ImplementationStatus">Listes!$U$2:$U$3</definedName>
    <definedName name="enum_ListBiodiversityArea">Listes!$J$2:$J$3</definedName>
    <definedName name="enum_ListCountiesCode">Listes!$G$2:$G$257</definedName>
    <definedName name="enum_ListCountriesName">Listes!$E$2:$E$257</definedName>
    <definedName name="enum_ListDays">Listes!$AC$2:$AC$32</definedName>
    <definedName name="enum_ListDensity">'Paramètres conversion combustib'!$K$2:$K$9</definedName>
    <definedName name="enum_ListEnergy">'Paramètres conversion combustib'!$I$2:$I$3</definedName>
    <definedName name="enum_ListFuel">'Paramètres conversion combustib'!$A$2:$A$61</definedName>
    <definedName name="enum_ListHectM2">Listes!$P$2:$P$3</definedName>
    <definedName name="enum_ListIdentifier">Listes!$AD$2:$AD$5</definedName>
    <definedName name="enum_ListLegalForms">Listes!$L$2:$L$6</definedName>
    <definedName name="enum_ListMass">'Paramètres conversion combustib'!$G$2:$G$5</definedName>
    <definedName name="enum_ListMediumOfRelease">Listes!$N$2:$N$4</definedName>
    <definedName name="enum_ListMonth">Listes!$T$2:$T$13</definedName>
    <definedName name="enum_ListNACECategories">Listes!$C$2:$C$399</definedName>
    <definedName name="enum_ListNACECode">Listes!$A$3:$A$1049</definedName>
    <definedName name="enum_ListNACETechnicalName">Listes!$D$3:$D$1049</definedName>
    <definedName name="enum_ListNCV">'Paramètres conversion combustib'!$U$2:$U$13</definedName>
    <definedName name="enum_ListOfCurrencies">Listes!$AA$2:$AA$170</definedName>
    <definedName name="enum_ListOfFutureYears">Listes!$S$26:$S$102</definedName>
    <definedName name="enum_ListOfPastYears">Listes!$S$2:$S$26</definedName>
    <definedName name="enum_ListOmittedDisclosures">Listes!$V$2:$V$21</definedName>
    <definedName name="enum_ListOmittedDisclosuresWithNone">Listes!$H$2:$H$22</definedName>
    <definedName name="enum_ListPollutants">Listes!$I$2:$I$95</definedName>
    <definedName name="enum_ListRenewabilityState">'Paramètres conversion combustib'!$AX$2:$AX$4</definedName>
    <definedName name="enum_ListStateOfMatter">'Paramètres conversion combustib'!$AW$2:$AW$5</definedName>
    <definedName name="enum_ListSustainabilityIssues">Listes!$O$2:$O$12</definedName>
    <definedName name="enum_ListTypeOfWastes">Listes!$K$2:$K$820</definedName>
    <definedName name="enum_ListUnitMeasurement">Listes!$M$2:$M$4</definedName>
    <definedName name="enum_ListUnitMeasurement_mass_only">Listes!$Y$2:$Y$3</definedName>
    <definedName name="enum_ListVolume">'Paramètres conversion combustib'!$H$2:$H$3</definedName>
    <definedName name="enum_ListVolumeMass">'Paramètres conversion combustib'!$J$2:$J$7</definedName>
    <definedName name="enum_ListWasteCategories">Listes!$Z$2:$Z$133</definedName>
    <definedName name="enum_ListYear">Listes!$S$2:$S$102</definedName>
    <definedName name="enum_ListYesNo">Listes!$Q$2:$Q$3</definedName>
    <definedName name="FemaleToMaleRatioAtManagementLevelForTheReportingPeriod">'Informations sociales'!$D$76</definedName>
    <definedName name="FinancialInvestmentInTheCapitalOrAssetsOfSocialEconomyEntities">'Informations générales'!$D$144</definedName>
    <definedName name="GenderDiversityRatioInGovernanceBody">'Informations de gouvernance'!$H$33</definedName>
    <definedName name="GPSLocationOfSite">'Informations générales'!$H$108:$H$132</definedName>
    <definedName name="GreenhouseGasEmissionReductionTargetBaseYear">'Informations environnementales'!$G$21</definedName>
    <definedName name="GreenhouseGasEmissionReductionTargetYear">'Informations environnementales'!$J$21</definedName>
    <definedName name="GrossLocationBasedScope2GreenhouseGasEmissions">'Informations environnementales'!$D$23</definedName>
    <definedName name="GrossLocationBasedScope2GreenhouseGasEmissions_BaselineYearMember">'Informations environnementales'!$G$23</definedName>
    <definedName name="GrossLocationBasedScope2GreenhouseGasEmissions_TargetYearMember">'Informations environnementales'!$J$23</definedName>
    <definedName name="GrossMarketBasedScope2GreenhouseGasEmissions">'Informations environnementales'!$D$24</definedName>
    <definedName name="GrossMarketBasedScope2GreenhouseGasEmissions_BaselineYearMember">'Informations environnementales'!$G$24</definedName>
    <definedName name="GrossMarketBasedScope2GreenhouseGasEmissions_TargetYearMember">'Informations environnementales'!$J$24</definedName>
    <definedName name="GrossScope1GreenhouseGasEmissions">'Informations environnementales'!$D$22</definedName>
    <definedName name="GrossScope1GreenhouseGasEmissions_BaselineYearMember">'Informations environnementales'!$G$22</definedName>
    <definedName name="GrossScope1GreenhouseGasEmissions_TargetYearMember">'Informations environnementales'!$J$22</definedName>
    <definedName name="GrossScope3GreenhouseGasEmissions_BaselineYearMember">'Informations environnementales'!$G$45</definedName>
    <definedName name="GrossScope3GreenhouseGasEmissions_CurrentlyStatedMember">'Informations environnementales'!$D$45</definedName>
    <definedName name="GrossScope3GreenhouseGasEmissions_TargetYearMember">'Informations environnementales'!$J$45</definedName>
    <definedName name="IdentifierOfMaterialTypedAxis">'Informations environnementales'!$C$216:$C$230</definedName>
    <definedName name="IdentifierOfSitesInBiodiversitySensitiveAreasTypedAxis">'Informations environnementales'!$C$128:$C$153</definedName>
    <definedName name="IdentifierOfSiteTypedAxis">'Informations générales'!$C$108:$C$132</definedName>
    <definedName name="IdentifierOfSubsidiaryTypedAxis">'Informations générales'!$C$70:$C$94</definedName>
    <definedName name="LinkToPreviousReportContainingDisclosuresThatRemainUnchanged">'Informations générales'!$E$29</definedName>
    <definedName name="ListOfDisclosuresForWhichNoChangesAreReportedComparedToThePreviousPeriodReporting">'Informations générales'!$E$19:$E$28</definedName>
    <definedName name="ListOfOmittedDisclosuresDeemedToBeClassifiedOrSensitiveInformation">'Informations générales'!$E$33:$E$41</definedName>
    <definedName name="ListOfSitesTable">'Informations générales'!$C$108:$H$132</definedName>
    <definedName name="ListOfSubsidiaryTable">'Informations générales'!$C$70:$E$94</definedName>
    <definedName name="MostSeniorLevelAccountableForImplementationOfPracticesPoliciesAndOrFutureInitiatives">'Informations générales'!$E$150</definedName>
    <definedName name="NaceSectorClassificationCodes">'Informations générales'!$E$45:$E$59</definedName>
    <definedName name="NameOfMaterialUsed">'Informations environnementales'!$D$216:$F$230</definedName>
    <definedName name="NameOfTheSubsidiary">'Informations générales'!$D$70:$D$94</definedName>
    <definedName name="NumberOfEmployees">'Informations générales'!$E$62</definedName>
    <definedName name="NumberOfEmployeesForCountryOfEmploymentContract">'Informations sociales'!$E$28:$H$37</definedName>
    <definedName name="NumberOfEmployeesForCountryOfEmploymentContractTable">'Informations sociales'!$C$28:$H$37</definedName>
    <definedName name="NumberOfFatalitiesAsAResultOfWorkRelatedInjuriesAndWorkRelatedIllHealth">'Informations sociales'!$D$53</definedName>
    <definedName name="NumberOfFemaleEmployees">'Informations sociales'!$D$19</definedName>
    <definedName name="NumberOfMaleEmployees">'Informations sociales'!$D$18</definedName>
    <definedName name="NumberOfNonReportedGenderEmployees">'Informations sociales'!$D$21</definedName>
    <definedName name="NumberOfOtherGenderEmployees">'Informations sociales'!$D$20</definedName>
    <definedName name="NumberOfPermanentContactEmployees">'Informations sociales'!$D$10</definedName>
    <definedName name="NumberOfRecordableWorkRelatedAccidentsInTheReportingPeriod">'Informations sociales'!$D$49</definedName>
    <definedName name="NumberOfTemporaryContractEmployees">'Informations sociales'!$D$11</definedName>
    <definedName name="OtherUndertakingsLegalForm">'Informations générales'!$E$44</definedName>
    <definedName name="PercentageGapInPayBetweenFemaleAndMaleEmployees">'Informations sociales'!$D$59</definedName>
    <definedName name="PercentageOfEmployeesCoveredByCollectiveBargainingAgreements">'Informations sociales'!$D$61</definedName>
    <definedName name="PostalCodeOfSite">'Informations générales'!$E$108:$E$132</definedName>
    <definedName name="PotentialAdverseEffectsOfClimateRisksThatMayAffectItsFinancialPerformanceOrBusinessOperationsInTheShortMediumOrLongTermIndicatingWhetherItAssessesTheRisksToBeHighMediumOrLow">'Informations environnementales'!$E$240</definedName>
    <definedName name="PracticePolicyAndOrFutureInitiativeIsPubliclyAvailable">'Informations générales'!$N$139</definedName>
    <definedName name="PubliclyAvailableDisclosure">'Informations environnementales'!$G$75</definedName>
    <definedName name="RateOfRecordableWorkRelatedAccidentsInTheReportingPeriod">'Informations sociales'!$D$52</definedName>
    <definedName name="RegisteredAddressOfTheSubsidiary">'Informations générales'!$E$70:$E$94</definedName>
    <definedName name="ReportContainsDisclosuresFromThePreviousReportingPeriodThatRemainUnchanged">'Informations générales'!$E$18</definedName>
    <definedName name="RevenueDerivedFromChemicalProduction">'Informations de gouvernance'!$H$18</definedName>
    <definedName name="RevenueDerivedFromCoal">'Informations de gouvernance'!$H$14</definedName>
    <definedName name="RevenueDerivedFromControversialWeaponsAntiPersonnelMinesClusterMunitionsChemicalWeaponsAndBiologicalWeapons">'Informations de gouvernance'!$H$12</definedName>
    <definedName name="RevenueDerivedFromCultivationAndProductionOfTobacco">'Informations de gouvernance'!$H$13</definedName>
    <definedName name="RevenueDerivedFromGas">'Informations de gouvernance'!$H$16</definedName>
    <definedName name="RevenueDerivedFromOil">'Informations de gouvernance'!$H$15</definedName>
    <definedName name="Scope1AndScope2GreenhouseGasEmissionsIntensityValueLocationBased">'Informations environnementales'!$G$66</definedName>
    <definedName name="Scope1AndScope2GreenhouseGasEmissionsIntensityValueMarketBased">'Informations environnementales'!$G$67</definedName>
    <definedName name="SiteLocatedInABiodiversitySensitiveArea">'Informations environnementales'!$J$128:$J$153</definedName>
    <definedName name="SiteLocatedNearABiodiversitySensitiveArea">'Informations environnementales'!$K$128:$K$153</definedName>
    <definedName name="SitesInBiodiversitySensitiveAreasTable">'Informations environnementales'!$C$128:$K$153</definedName>
    <definedName name="SpecificationOfAnyConfirmedIncidentInvolvingWorkersInTheValueChainAffectedCommunitiesConsumersAndEndUsers">'Informations sociales'!$D$103</definedName>
    <definedName name="SpecificationOfOtherHumanRightsRelatedToTheConfirmedIncident">'Informations sociales'!$D$100</definedName>
    <definedName name="SpecificationOfOtherTypesOfContentCoveredByTheCodeOfConductOrHumanRightsPolicy">'Informations sociales'!$D$89</definedName>
    <definedName name="SustainabilityIssueAddressedByPracticePolicyAndOrFutureInitiative">'Informations générales'!$D$139:$M$139</definedName>
    <definedName name="TargetYearMember">'Informations environnementales'!$J$21</definedName>
    <definedName name="template_b1_basis_for_preparation_and_other_undertakings_general_information">'Informations générales'!$C$31</definedName>
    <definedName name="template_b1_disclosure_of_sustainability_related_certifications_or_labels">'Informations générales'!$C$96</definedName>
    <definedName name="template_b1_list_of_sites">'Informations générales'!$C$102</definedName>
    <definedName name="template_b1_list_of_subsidiaries">'Informations générales'!$C$67</definedName>
    <definedName name="template_b10_workforce_remuneration_collective_bargaining_and_training">'Informations sociales'!$C$55</definedName>
    <definedName name="template_b11_convictions_and_fines_for_corruption_and_bribery">'Informations de gouvernance'!$C$2</definedName>
    <definedName name="template_b2_cooperative_specific_disclosures">'Informations générales'!$C$141</definedName>
    <definedName name="template_b2_practices_policies_and_future_initiatives_for_transitioning_towards_a_more_sustainable_economy">'Informations générales'!$C$134</definedName>
    <definedName name="template_b3_breakdown_of_energy_consumption_in_MWh">'Informations environnementales'!$C$7</definedName>
    <definedName name="template_b3_estimated_greenhouse_gas_emissions_considering_the_GHG_protocol_version_2004_in_tCO2e">'Informations environnementales'!$C$16</definedName>
    <definedName name="template_b3_greenhouse_gas_emission_intensity_per_turnover">'Informations environnementales'!$C$64</definedName>
    <definedName name="template_b3_total_energy_consumption_in_MWh">'Informations environnementales'!$C$2</definedName>
    <definedName name="template_b4_pollution_of_air_water_and_soil">'Informations environnementales'!$C$71</definedName>
    <definedName name="template_b5_biodiversity_land_use">'Informations environnementales'!$C$155</definedName>
    <definedName name="template_b5_sites_in_biodiversity_sensitive_areas">'Informations environnementales'!$C$121</definedName>
    <definedName name="template_b6_water_consumption">'Informations environnementales'!$C$172</definedName>
    <definedName name="template_b6_water_withdrawal">'Informations environnementales'!$C$166</definedName>
    <definedName name="template_b7_annual_mass_flow_of_relevant_materials_used">'Informations environnementales'!$C$211</definedName>
    <definedName name="template_b7_description_of_circular_economy_principles">'Informations environnementales'!$C$179</definedName>
    <definedName name="template_b7_waste_generated">'Informations environnementales'!$C$185</definedName>
    <definedName name="template_b8_workforce_general_characteristics_country_of_employment">'Informations sociales'!$C$24</definedName>
    <definedName name="template_b8_workforce_general_characteristics_gender">'Informations sociales'!$C$14</definedName>
    <definedName name="template_b8_workforce_general_characteristics_turnover_rate">'Informations sociales'!$C$40</definedName>
    <definedName name="template_b8_workforce_general_characteristics_type_of_contract">'Informations sociales'!$C$6</definedName>
    <definedName name="template_b9_workforce_health_and_safety">'Informations sociales'!$C$48</definedName>
    <definedName name="template_c1_strategy_business_model_and_sustainability">'Informations générales'!$C$153</definedName>
    <definedName name="template_c2_description_of_practices_policies_and_future_initiatives_for_transitioning_towards_a_more_sustainable_economy">'Informations générales'!$C$147</definedName>
    <definedName name="template_c3_disclosure_of_list_of_main_actions_the_entity_seeks_in_order_to_achieve_its_targets">'Informations environnementales'!$C$49</definedName>
    <definedName name="template_c3_GHG_reduction_targets_in_tC02e">'Informations environnementales'!$G$16</definedName>
    <definedName name="template_c3_transition_plan_for_undertakings_operating_in_high_climate_impact_sectors">'Informations environnementales'!$C$55</definedName>
    <definedName name="template_c4_climate_risks">'Informations environnementales'!$C$234</definedName>
    <definedName name="template_c5_additional_general_workforce_characteristics">'Informations sociales'!$C$73</definedName>
    <definedName name="template_c6_additional_own_workforce_information_human_rights_policies_and_processes">'Informations sociales'!$C$80</definedName>
    <definedName name="template_c7_severe_negative_human_rights_incidents">'Informations sociales'!$C$92</definedName>
    <definedName name="template_c8_exclusion_from_EU_reference_benchmarks">'Informations de gouvernance'!$C$20</definedName>
    <definedName name="template_c8_revenues_from_certain_sectors">'Informations de gouvernance'!$C$9</definedName>
    <definedName name="template_c9_gender_diversity_ratio_in_the_governance_body">'Informations de gouvernance'!$C$29</definedName>
    <definedName name="template_currency">'Informations générales'!$D$5</definedName>
    <definedName name="template_disclosure_of_any_other_environmental_and_or_entity_specific_enviromental_disclosures">'Informations environnementales'!$C$242</definedName>
    <definedName name="template_disclosure_of_any_other_general_and_or_entity_specific_information_on_the_reporting_period">'Informations générales'!$C$162</definedName>
    <definedName name="template_disclosure_of_any_other_governance_and_or_entity_specific_governance_disclosures">'Informations de gouvernance'!$C$36</definedName>
    <definedName name="template_disclosure_of_any_other_social_and_or_entity_specific_social_disclosures">'Informations sociales'!$C$107</definedName>
    <definedName name="template_ending_date_display">'Fiche technique'!$B$2</definedName>
    <definedName name="template_FUEL_CONVERTER">'Convertisseur combustibles'!$A$1</definedName>
    <definedName name="template_further_notes">'Convertisseur combustibles'!$A$36</definedName>
    <definedName name="template_information_on_previous_reporting_period">'Informations générales'!$C$16</definedName>
    <definedName name="template_information_on_the_report_necessary_for_XBRL">'Informations générales'!$C$2</definedName>
    <definedName name="template_overall_validation_status">'Table des matières &amp; Validation'!$C$3</definedName>
    <definedName name="template_reporting_entity_identifier">'Informations générales'!$E$4</definedName>
    <definedName name="template_reporting_entity_identifier_scheme">'Informations générales'!$D$4</definedName>
    <definedName name="template_reporting_entity_name">'Informations générales'!$D$3:$E$3</definedName>
    <definedName name="template_reporting_period_display">'Fiche technique'!$B$1</definedName>
    <definedName name="template_reporting_period_enddate">'Informations générales'!$D$13</definedName>
    <definedName name="template_reporting_period_startdate">'Informations générales'!$D$9</definedName>
    <definedName name="template_reporting_schemaRef">Introduction!$C$9</definedName>
    <definedName name="template_reporting_template_version">Introduction!$C$1</definedName>
    <definedName name="TimeHorizonsOfAnyClimateRelatedHazardsAndTransitionEventsIdentified">'Informations environnementales'!$E$238</definedName>
    <definedName name="TotalAmountOfFinesForTheViolationOfAnticorruptionAndAntibriberyLaws">'Informations de gouvernance'!$H$7</definedName>
    <definedName name="TotalAmountOfWaterWithdrawnFromAllSites">'Informations environnementales'!$D$169</definedName>
    <definedName name="TotalEnergyConsumption">'Informations environnementales'!$G$5</definedName>
    <definedName name="TotalGrossLocationBasedGHGEmissions_BaselineYearMember">'Informations environnementales'!$G$46</definedName>
    <definedName name="TotalGrossLocationBasedGHGEmissions_CurrentlyStatedMember">'Informations environnementales'!$D$46</definedName>
    <definedName name="TotalGrossLocationBasedGHGEmissions_TargetYearMember">'Informations environnementales'!$J$46</definedName>
    <definedName name="TotalGrossLocationBasedScope1AndScope2GHGEmissions">'Informations environnementales'!$D$25</definedName>
    <definedName name="TotalGrossLocationBasedScope1AndScope2GHGEmissions_BaselineYearMember">'Informations environnementales'!$G$25</definedName>
    <definedName name="TotalGrossLocationBasedScope1AndScope2GHGEmissions_TargetYearMember">'Informations environnementales'!$J$25</definedName>
    <definedName name="TotalGrossMarketBasedGHGEmissions_BaselineYearMember">'Informations environnementales'!$G$47</definedName>
    <definedName name="TotalGrossMarketBasedGHGEmissions_CurrentlyStatedMember">'Informations environnementales'!$D$47</definedName>
    <definedName name="TotalGrossMarketBasedGHGEmissions_TargetYearMember">'Informations environnementales'!$J$47</definedName>
    <definedName name="TotalGrossMarketBasedScope1AndScope2GHGEmissions">'Informations environnementales'!$D$26</definedName>
    <definedName name="TotalGrossMarketBasedScope1AndScope2GHGEmissions_BaselineYearMember">'Informations environnementales'!$G$26</definedName>
    <definedName name="TotalGrossMarketBasedScope1AndScope2GHGEmissions_TargetYearMember">'Informations environnementales'!$J$26</definedName>
    <definedName name="TotalHazardousWasteGeneratedMass">'Informations environnementales'!$J$204:$L$204</definedName>
    <definedName name="TotalHazardousWasteGeneratedMass_unit">'Informations environnementales'!$G$204:$I$204</definedName>
    <definedName name="TotalHazardousWasteGeneratedVolume">'Informations environnementales'!$J$207:$L$207</definedName>
    <definedName name="TotalHazardousWasteGeneratedVolume_unit">'Informations environnementales'!$G$207:$I$207</definedName>
    <definedName name="TotalLocationBasedGreenhouseGasEmissionsIntensityValue">'Informations environnementales'!$G$68</definedName>
    <definedName name="TotalMarketBasedGreenhouseGasEmissionsIntensityValue">'Informations environnementales'!$G$69</definedName>
    <definedName name="TotalMassOfMaterialUsed">'Informations environnementales'!$G$231</definedName>
    <definedName name="TotalMassOfMaterialUsed_unit">'Informations environnementales'!$J$231</definedName>
    <definedName name="TotalNatureOrientedAreaOffSite">'Informations environnementales'!$D$163:$F$163</definedName>
    <definedName name="TotalNatureOrientedAreaOffSite_unit">'Informations environnementales'!$C$159</definedName>
    <definedName name="TotalNatureOrientedAreaOnSite">'Informations environnementales'!$D$162:$F$162</definedName>
    <definedName name="TotalNatureOrientedAreaOnSite_unit">'Informations environnementales'!$C$159</definedName>
    <definedName name="TotalNonHazardousWasteGeneratedMass">'Informations environnementales'!$J$205:$L$205</definedName>
    <definedName name="TotalNonHazardousWasteGeneratedMass_unit">'Informations environnementales'!$G$205:$I$205</definedName>
    <definedName name="TotalNonHazardousWasteGeneratedVolume">'Informations environnementales'!$J$208:$L$208</definedName>
    <definedName name="TotalNonHazardousWasteGeneratedVolume_unit">'Informations environnementales'!$G$208:$I$208</definedName>
    <definedName name="TotalNumberOfConvictionsForTheViolationOfAntiCorruptionAndAntiBriberyLaws">'Informations de gouvernance'!$H$6</definedName>
    <definedName name="TotalNumberOfSelfEmployedWorkersWithoutPersonnelThatAreWorkingExclusivelyForTheUndertaking">'Informations sociales'!$D$77</definedName>
    <definedName name="TotalNumberOfTemporaryWorkersProvidedByUndertakingsPrimarilyEngagedInEmploymentActivities">'Informations sociales'!$D$78</definedName>
    <definedName name="TotalRevenuesDerivedFromFossilFuelCoalOilAndGasSector">'Informations de gouvernance'!$H$17</definedName>
    <definedName name="TotalSealedArea">'Informations environnementales'!$D$161:$F$161</definedName>
    <definedName name="TotalSealedArea_unit">'Informations environnementales'!$C$159</definedName>
    <definedName name="TotalUseOfLand">'Informations environnementales'!$D$164:$F$164</definedName>
    <definedName name="TotalUseOfLand_unit">'Informations environnementales'!$C$159</definedName>
    <definedName name="TotalVolumeOfMaterialUsed">'Informations environnementales'!$G$232</definedName>
    <definedName name="TotalVolumeOfMaterialUsed_unit">'Informations environnementales'!$J$232</definedName>
    <definedName name="TotalWasteGeneratedMass">'Informations environnementales'!$J$206:$L$206</definedName>
    <definedName name="TotalWasteGeneratedMass_unit">'Informations environnementales'!$G$206:$I$206</definedName>
    <definedName name="TotalWasteGeneratedVolume">'Informations environnementales'!$J$209:$L$209</definedName>
    <definedName name="TotalWasteGeneratedVolume_unit">'Informations environnementales'!$G$209:$I$209</definedName>
    <definedName name="TotalWasteRecycledReusedAndDirectedToDisposalMass">'Informations environnementales'!$L$189:$L$203</definedName>
    <definedName name="TotalWasteRecycledReusedAndDirectedToDisposalMass_unit">'Informations environnementales'!$G$189:$I$203</definedName>
    <definedName name="TotalWasteRecycledReusedAndDirectedToDisposalVolume">'Informations environnementales'!$L$189:$L$203</definedName>
    <definedName name="TotalWasteRecycledReusedAndDirectedToDisposalVolume_unit">'Informations environnementales'!$G$189:$I$203</definedName>
    <definedName name="TotalWaterConsumption">'Informations environnementales'!$D$177</definedName>
    <definedName name="Turnover">'Informations générales'!$E$61</definedName>
    <definedName name="TypeOfContentCoveredByTheCodeOfConductOrHumanRightsPolicyForItsOwnWorkforce">'Informations sociales'!$D$83:$H$88</definedName>
    <definedName name="TypeOfHumanRightRelatedToTheConfirmedIncident">'Informations sociales'!$D$95:$H$99</definedName>
    <definedName name="TypeOfNumberOfEmployees">'Informations générales'!$E$64</definedName>
    <definedName name="TypeOfPollutantAxis">'Informations environnementales'!$D$80:$F$119</definedName>
    <definedName name="TypeOfWasteAxis">'Informations environnementales'!$D$189:$F$203</definedName>
    <definedName name="UndertakingAppliesCircularEconomyPrinciples">'Informations environnementales'!$D$182</definedName>
    <definedName name="UndertakingHasACodeOfConductOrHumanRightsPolicyForItsOwnWorkforce">'Informations sociales'!$D$81</definedName>
    <definedName name="UndertakingHasAComplaintHandlingMechanismForItsOwnWorkforce">'Informations sociales'!$D$90</definedName>
    <definedName name="UndertakingHasConfirmedHumanRightsIncidentsInItsOwnWorkforce">'Informations sociales'!$D$93</definedName>
    <definedName name="UndertakingHasSetATargetWhichIsRelatedToAPolicy">'Informations générales'!$O$139</definedName>
    <definedName name="UndertakingIsAwareOfAnyConfirmedIncidentsInvolvingWorkersInTheValueChainAffectedCommunitiesConsumersAndEndUsers">'Informations sociales'!$D$102</definedName>
    <definedName name="UndertakingsAreExcludedFromAnyEuReferenceBenchmarksThatAreAlignedWithTheParisAgreement">'Informations de gouvernance'!$H$27</definedName>
    <definedName name="UndertakingsLegalForm">'Informations générales'!$E$43</definedName>
    <definedName name="URLOrLinkToThePubliclyAvailableDisclosure">'Informations environnementales'!$G$76</definedName>
    <definedName name="VolumeOfMaterialUsed">'Informations environnementales'!$G$216:$I$230</definedName>
    <definedName name="VolumeOfMaterialUsed_unit">'Informations environnementales'!$J$216:$J$230</definedName>
    <definedName name="WasteDirectedToDisposalMass">'Informations environnementales'!$K$189:$K$203</definedName>
    <definedName name="WasteDirectedToDisposalMass_unit">'Informations environnementales'!$G$189:$I$203</definedName>
    <definedName name="WasteDirectedToDisposalVolume">'Informations environnementales'!$K$189:$K$203</definedName>
    <definedName name="WasteDirectedToDisposalVolume_unit">'Informations environnementales'!$G$189:$I$203</definedName>
    <definedName name="WasteDivertedToRecycleOrReuseMass">'Informations environnementales'!$J$189:$J$203</definedName>
    <definedName name="WasteDivertedToRecycleOrReuseMass_unit">'Informations environnementales'!$G$189:$I$203</definedName>
    <definedName name="WasteDivertedToRecycleOrReuseVolume">'Informations environnementales'!$J$189:$J$203</definedName>
    <definedName name="WasteDivertedToRecycleOrReuseVolume_unit">'Informations environnementales'!$G$189:$I$203</definedName>
    <definedName name="WasteTable">'Informations environnementales'!$D$189:$L$203</definedName>
    <definedName name="WaterDischargeFromUndertakingProductionProcesses">'Informations environnementales'!$D$176</definedName>
    <definedName name="WeightOfMaterialUsed">'Informations environnementales'!$G$216:$I$230</definedName>
    <definedName name="WeightOfMaterialUsed_unit">'Informations environnementales'!$J$216:$J$230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1" l="1"/>
  <c r="C13" i="16"/>
  <c r="D3" i="6" l="1"/>
  <c r="D10" i="9"/>
  <c r="C57" i="12" l="1"/>
  <c r="D153" i="1"/>
  <c r="D152" i="1"/>
  <c r="D151" i="1"/>
  <c r="D150" i="1"/>
  <c r="D149" i="1"/>
  <c r="D148" i="1"/>
  <c r="D147" i="1"/>
  <c r="D146" i="1"/>
  <c r="D145" i="1"/>
  <c r="D144" i="1"/>
  <c r="D143" i="1"/>
  <c r="D142" i="1"/>
  <c r="D141" i="1"/>
  <c r="D140" i="1"/>
  <c r="D139" i="1"/>
  <c r="D138" i="1"/>
  <c r="D136" i="1"/>
  <c r="D137" i="1"/>
  <c r="D135" i="1"/>
  <c r="D134" i="1"/>
  <c r="D133" i="1"/>
  <c r="D132" i="1"/>
  <c r="D131" i="1"/>
  <c r="D130" i="1"/>
  <c r="G232" i="1"/>
  <c r="G231" i="1"/>
  <c r="J208" i="1"/>
  <c r="J207" i="1"/>
  <c r="J205" i="1"/>
  <c r="J204" i="1"/>
  <c r="C7" i="7" l="1"/>
  <c r="C58" i="12"/>
  <c r="D13" i="3"/>
  <c r="D9" i="3"/>
  <c r="D14" i="9" l="1"/>
  <c r="D6" i="9"/>
  <c r="B2" i="11" l="1"/>
  <c r="C24" i="12"/>
  <c r="L5" i="1"/>
  <c r="K12" i="1"/>
  <c r="L12" i="1" a="1"/>
  <c r="L12" i="1" s="1"/>
  <c r="C21" i="16" s="1"/>
  <c r="K13" i="1"/>
  <c r="L21" i="1"/>
  <c r="K22" i="1"/>
  <c r="L22" i="1"/>
  <c r="C22" i="16" s="1"/>
  <c r="K23" i="1"/>
  <c r="L23" i="1"/>
  <c r="K24" i="1"/>
  <c r="L24" i="1"/>
  <c r="K30" i="1"/>
  <c r="L30" i="1" a="1"/>
  <c r="L30" i="1" s="1"/>
  <c r="K31" i="1"/>
  <c r="K32" i="1"/>
  <c r="K33" i="1"/>
  <c r="K34" i="1"/>
  <c r="K35" i="1"/>
  <c r="K36" i="1"/>
  <c r="K37" i="1"/>
  <c r="K38" i="1"/>
  <c r="K39" i="1"/>
  <c r="K40" i="1"/>
  <c r="K41" i="1"/>
  <c r="K42" i="1"/>
  <c r="K43" i="1"/>
  <c r="K44" i="1"/>
  <c r="L52" i="1"/>
  <c r="C52" i="16" s="1"/>
  <c r="L58" i="1"/>
  <c r="L59" i="1"/>
  <c r="L75" i="1" a="1"/>
  <c r="L75" i="1" s="1"/>
  <c r="L76" i="1"/>
  <c r="L78" i="1" a="1"/>
  <c r="L78" i="1" s="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6"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89" i="1"/>
  <c r="L190" i="1"/>
  <c r="L191" i="1"/>
  <c r="L192" i="1"/>
  <c r="L193" i="1"/>
  <c r="L194" i="1"/>
  <c r="L195" i="1"/>
  <c r="L196" i="1"/>
  <c r="L197" i="1"/>
  <c r="L198" i="1"/>
  <c r="L199" i="1"/>
  <c r="L200" i="1"/>
  <c r="L201" i="1"/>
  <c r="L202" i="1"/>
  <c r="L203" i="1"/>
  <c r="K216" i="1"/>
  <c r="K217" i="1"/>
  <c r="K218" i="1"/>
  <c r="K219" i="1"/>
  <c r="K220" i="1"/>
  <c r="K221" i="1"/>
  <c r="K222" i="1"/>
  <c r="K223" i="1"/>
  <c r="K224" i="1"/>
  <c r="K225" i="1"/>
  <c r="K226" i="1"/>
  <c r="K227" i="1"/>
  <c r="K228" i="1"/>
  <c r="K229" i="1"/>
  <c r="K230" i="1"/>
  <c r="L236" i="1"/>
  <c r="L237" i="1"/>
  <c r="L238" i="1"/>
  <c r="C54" i="16" s="1"/>
  <c r="L239" i="1"/>
  <c r="L240" i="1"/>
  <c r="D129" i="1"/>
  <c r="D128" i="1"/>
  <c r="F32" i="3"/>
  <c r="F10" i="3"/>
  <c r="F6" i="3"/>
  <c r="C6" i="16" s="1"/>
  <c r="F5" i="3"/>
  <c r="F4" i="3"/>
  <c r="F3" i="3"/>
  <c r="C63" i="16"/>
  <c r="C62" i="16"/>
  <c r="C61" i="16"/>
  <c r="C58" i="16"/>
  <c r="C57" i="16"/>
  <c r="C48" i="16"/>
  <c r="C47" i="16"/>
  <c r="C44" i="16"/>
  <c r="C42" i="16"/>
  <c r="C41" i="16"/>
  <c r="C40" i="16"/>
  <c r="C38" i="16"/>
  <c r="C37" i="16"/>
  <c r="C20" i="16"/>
  <c r="C17" i="16" a="1"/>
  <c r="C17" i="16" s="1"/>
  <c r="C16" i="16"/>
  <c r="C14" i="16"/>
  <c r="C34" i="16" l="1"/>
  <c r="C60" i="16"/>
  <c r="C15" i="16"/>
  <c r="H27" i="7" l="1"/>
  <c r="C29" i="7"/>
  <c r="H11" i="7"/>
  <c r="C14" i="12" l="1"/>
  <c r="C6" i="12"/>
  <c r="C61" i="3"/>
  <c r="C60" i="3"/>
  <c r="I29" i="12"/>
  <c r="I30" i="12"/>
  <c r="I31" i="12"/>
  <c r="I32" i="12"/>
  <c r="I33" i="12"/>
  <c r="I34" i="12"/>
  <c r="I35" i="12"/>
  <c r="I36" i="12"/>
  <c r="I37" i="12"/>
  <c r="I28" i="12"/>
  <c r="C39" i="16" s="1"/>
  <c r="C36" i="16" s="1"/>
  <c r="J47" i="1"/>
  <c r="G47" i="1"/>
  <c r="K47" i="1" s="1"/>
  <c r="D51" i="12"/>
  <c r="D52" i="12"/>
  <c r="D62" i="1"/>
  <c r="F29" i="3" l="1"/>
  <c r="I12" i="7"/>
  <c r="I45" i="12"/>
  <c r="I44" i="12"/>
  <c r="I43" i="12"/>
  <c r="F21" i="3"/>
  <c r="F22" i="3"/>
  <c r="F23" i="3"/>
  <c r="F24" i="3"/>
  <c r="F25" i="3"/>
  <c r="F26" i="3"/>
  <c r="F27" i="3"/>
  <c r="F28" i="3"/>
  <c r="F20" i="3"/>
  <c r="G25" i="1"/>
  <c r="J25" i="1"/>
  <c r="F35" i="3"/>
  <c r="F36" i="3"/>
  <c r="F37" i="3"/>
  <c r="F38" i="3"/>
  <c r="F39" i="3"/>
  <c r="F40" i="3"/>
  <c r="F41" i="3"/>
  <c r="F34" i="3"/>
  <c r="I95" i="12" a="1"/>
  <c r="I95" i="12" s="1"/>
  <c r="C71" i="12"/>
  <c r="I83" i="12" a="1"/>
  <c r="I83" i="12" s="1"/>
  <c r="E144" i="3"/>
  <c r="E145" i="3"/>
  <c r="E143" i="3"/>
  <c r="D21" i="1" l="1"/>
  <c r="B1" i="11"/>
  <c r="K25" i="1"/>
  <c r="J111" i="3"/>
  <c r="J112" i="3"/>
  <c r="J113" i="3"/>
  <c r="J114" i="3"/>
  <c r="J115" i="3"/>
  <c r="J116" i="3"/>
  <c r="J117" i="3"/>
  <c r="J118" i="3"/>
  <c r="J119" i="3"/>
  <c r="J120" i="3"/>
  <c r="J121" i="3"/>
  <c r="J122" i="3"/>
  <c r="J123" i="3"/>
  <c r="J124" i="3"/>
  <c r="J125" i="3"/>
  <c r="J126" i="3"/>
  <c r="J127" i="3"/>
  <c r="J128" i="3"/>
  <c r="J129" i="3"/>
  <c r="J130" i="3"/>
  <c r="J131" i="3"/>
  <c r="J132" i="3"/>
  <c r="M191" i="1"/>
  <c r="M192" i="1"/>
  <c r="M193" i="1"/>
  <c r="M194" i="1"/>
  <c r="M195" i="1"/>
  <c r="M196" i="1"/>
  <c r="M197" i="1"/>
  <c r="M198" i="1"/>
  <c r="M199" i="1"/>
  <c r="M200" i="1"/>
  <c r="M201" i="1"/>
  <c r="M202" i="1"/>
  <c r="M203" i="1"/>
  <c r="M190" i="1"/>
  <c r="M189" i="1"/>
  <c r="F47" i="3"/>
  <c r="F48" i="3"/>
  <c r="F49" i="3"/>
  <c r="F50" i="3"/>
  <c r="F51" i="3"/>
  <c r="F52" i="3"/>
  <c r="F53" i="3"/>
  <c r="F54" i="3"/>
  <c r="F55" i="3"/>
  <c r="F56" i="3"/>
  <c r="F57" i="3"/>
  <c r="F58" i="3"/>
  <c r="F59" i="3"/>
  <c r="F46" i="3"/>
  <c r="F45" i="3"/>
  <c r="F33" i="3"/>
  <c r="F19" i="3"/>
  <c r="C7" i="16" s="1"/>
  <c r="H183" i="1"/>
  <c r="G159" i="1"/>
  <c r="P139" i="3"/>
  <c r="AR26" i="8"/>
  <c r="AQ25" i="8"/>
  <c r="AR18" i="8"/>
  <c r="AN26" i="8"/>
  <c r="AM25" i="8"/>
  <c r="AN18" i="8"/>
  <c r="AJ26" i="8"/>
  <c r="AI25" i="8"/>
  <c r="AJ18" i="8"/>
  <c r="AF26" i="8"/>
  <c r="AE25" i="8"/>
  <c r="AF18" i="8"/>
  <c r="AB26" i="8"/>
  <c r="AA25" i="8"/>
  <c r="AB18" i="8"/>
  <c r="X26" i="8"/>
  <c r="W25" i="8"/>
  <c r="X18" i="8"/>
  <c r="T26" i="8"/>
  <c r="S25" i="8"/>
  <c r="T18" i="8"/>
  <c r="P26" i="8"/>
  <c r="O25" i="8"/>
  <c r="P18" i="8"/>
  <c r="L26" i="8"/>
  <c r="K25" i="8"/>
  <c r="L18" i="8"/>
  <c r="A25" i="8"/>
  <c r="B18" i="8"/>
  <c r="C23" i="16" l="1"/>
  <c r="C19" i="16"/>
  <c r="C11" i="16"/>
  <c r="C67" i="3"/>
  <c r="C172" i="1"/>
  <c r="C64" i="1"/>
  <c r="C107" i="12"/>
  <c r="C166" i="1"/>
  <c r="C49" i="1"/>
  <c r="C121" i="1"/>
  <c r="C80" i="12"/>
  <c r="C155" i="1"/>
  <c r="C55" i="1"/>
  <c r="C102" i="3"/>
  <c r="C211" i="1"/>
  <c r="C31" i="3"/>
  <c r="C242" i="1"/>
  <c r="C234" i="1"/>
  <c r="C71" i="1"/>
  <c r="C185" i="1"/>
  <c r="C179" i="1"/>
  <c r="C36" i="7"/>
  <c r="C20" i="7"/>
  <c r="C2" i="7"/>
  <c r="C9" i="7"/>
  <c r="C92" i="12"/>
  <c r="C141" i="3"/>
  <c r="C2" i="1"/>
  <c r="C134" i="3"/>
  <c r="C96" i="3"/>
  <c r="C153" i="3"/>
  <c r="C55" i="12"/>
  <c r="C158" i="3"/>
  <c r="C73" i="12"/>
  <c r="C162" i="3"/>
  <c r="C7" i="1"/>
  <c r="C40" i="12"/>
  <c r="C48" i="12"/>
  <c r="C63" i="12"/>
  <c r="C147" i="3"/>
  <c r="G161" i="1"/>
  <c r="C27" i="16" s="1"/>
  <c r="M204" i="1" l="1" a="1"/>
  <c r="M204" i="1" s="1"/>
  <c r="C33" i="16" s="1"/>
  <c r="G205" i="1"/>
  <c r="G206" i="1"/>
  <c r="D76" i="12" l="1"/>
  <c r="G45" i="1" l="1"/>
  <c r="D177" i="1"/>
  <c r="B11" i="8"/>
  <c r="D5" i="11"/>
  <c r="D6" i="11"/>
  <c r="D7" i="11"/>
  <c r="D8" i="11"/>
  <c r="D9" i="11"/>
  <c r="D10" i="11"/>
  <c r="D11" i="11"/>
  <c r="D12" i="11"/>
  <c r="D13" i="11"/>
  <c r="D14" i="11"/>
  <c r="D15" i="11"/>
  <c r="D16" i="11"/>
  <c r="D17" i="11"/>
  <c r="D18" i="11"/>
  <c r="D19" i="11"/>
  <c r="D20" i="11"/>
  <c r="D21" i="11"/>
  <c r="D22" i="11"/>
  <c r="D23" i="11"/>
  <c r="D24" i="11"/>
  <c r="D25" i="11"/>
  <c r="D26" i="11"/>
  <c r="C16" i="8" l="1"/>
  <c r="A24" i="8"/>
  <c r="A26" i="8" s="1"/>
  <c r="A23" i="8" s="1"/>
  <c r="A22" i="8" l="1"/>
  <c r="I49" i="12"/>
  <c r="I109" i="12"/>
  <c r="C67" i="16" s="1"/>
  <c r="I56" i="12"/>
  <c r="I53" i="12"/>
  <c r="I103" i="12"/>
  <c r="I102" i="12"/>
  <c r="I101" i="12"/>
  <c r="I100" i="12"/>
  <c r="I93" i="12"/>
  <c r="I90" i="12"/>
  <c r="I89" i="12"/>
  <c r="I81" i="12"/>
  <c r="I78" i="12"/>
  <c r="I77" i="12"/>
  <c r="I75" i="12"/>
  <c r="I74" i="12"/>
  <c r="I66" i="12"/>
  <c r="D61" i="12"/>
  <c r="I60" i="12"/>
  <c r="D59" i="12"/>
  <c r="I58" i="12"/>
  <c r="I57" i="12"/>
  <c r="I50" i="12"/>
  <c r="D46" i="12"/>
  <c r="E38" i="12"/>
  <c r="D22" i="12"/>
  <c r="H18" i="12" s="1"/>
  <c r="D12" i="12"/>
  <c r="D11" i="12" s="1"/>
  <c r="H10" i="12"/>
  <c r="F3" i="12"/>
  <c r="F2" i="12"/>
  <c r="K124" i="3"/>
  <c r="H112" i="3"/>
  <c r="M244" i="1"/>
  <c r="C66" i="16" s="1"/>
  <c r="E169" i="1"/>
  <c r="H149" i="3"/>
  <c r="H150" i="3"/>
  <c r="H148" i="3"/>
  <c r="B22" i="8" l="1"/>
  <c r="C56" i="16"/>
  <c r="H17" i="7"/>
  <c r="H154" i="3"/>
  <c r="F65" i="3"/>
  <c r="F64" i="3"/>
  <c r="F63" i="3"/>
  <c r="F62" i="3"/>
  <c r="F61" i="3"/>
  <c r="H182" i="1"/>
  <c r="C32" i="16" s="1"/>
  <c r="C31" i="16" s="1"/>
  <c r="E170" i="1"/>
  <c r="C29" i="16" s="1"/>
  <c r="F60" i="3"/>
  <c r="F43" i="3"/>
  <c r="F42" i="3"/>
  <c r="H131" i="3" l="1"/>
  <c r="K132" i="3"/>
  <c r="J45" i="1" l="1"/>
  <c r="K45" i="1" s="1"/>
  <c r="D45" i="1"/>
  <c r="D46" i="1" s="1"/>
  <c r="G68" i="1" s="1"/>
  <c r="G46" i="1" l="1"/>
  <c r="J46" i="1"/>
  <c r="K109" i="3"/>
  <c r="D3" i="11" s="1"/>
  <c r="K110" i="3"/>
  <c r="K111" i="3"/>
  <c r="F5" i="11" s="1"/>
  <c r="K112" i="3"/>
  <c r="E6" i="11" s="1"/>
  <c r="K113" i="3"/>
  <c r="K114" i="3"/>
  <c r="K115" i="3"/>
  <c r="K116" i="3"/>
  <c r="K117" i="3"/>
  <c r="K118" i="3"/>
  <c r="K119" i="3"/>
  <c r="K120" i="3"/>
  <c r="F14" i="11" s="1"/>
  <c r="K121" i="3"/>
  <c r="K122" i="3"/>
  <c r="K123" i="3"/>
  <c r="E17" i="11" s="1"/>
  <c r="F18" i="11"/>
  <c r="K125" i="3"/>
  <c r="F19" i="11" s="1"/>
  <c r="K126" i="3"/>
  <c r="F20" i="11" s="1"/>
  <c r="K127" i="3"/>
  <c r="K128" i="3"/>
  <c r="K129" i="3"/>
  <c r="K130" i="3"/>
  <c r="K131" i="3"/>
  <c r="K108" i="3"/>
  <c r="D2" i="11" s="1"/>
  <c r="H117" i="3"/>
  <c r="I117" i="3" s="1"/>
  <c r="H118" i="3"/>
  <c r="I118" i="3" s="1"/>
  <c r="H119" i="3"/>
  <c r="I119" i="3" s="1"/>
  <c r="H120" i="3"/>
  <c r="I120" i="3" s="1"/>
  <c r="H121" i="3"/>
  <c r="I121" i="3" s="1"/>
  <c r="H122" i="3"/>
  <c r="I122" i="3" s="1"/>
  <c r="H123" i="3"/>
  <c r="I123" i="3" s="1"/>
  <c r="H124" i="3"/>
  <c r="I124" i="3" s="1"/>
  <c r="H125" i="3"/>
  <c r="I125" i="3" s="1"/>
  <c r="H127" i="3"/>
  <c r="I127" i="3" s="1"/>
  <c r="H128" i="3"/>
  <c r="I128" i="3" s="1"/>
  <c r="H129" i="3"/>
  <c r="I129" i="3" s="1"/>
  <c r="H130" i="3"/>
  <c r="I130" i="3" s="1"/>
  <c r="I131" i="3"/>
  <c r="H132" i="3"/>
  <c r="I132" i="3" s="1"/>
  <c r="D47" i="1"/>
  <c r="G69" i="1" s="1"/>
  <c r="K46" i="1" l="1"/>
  <c r="D4" i="11"/>
  <c r="F4" i="11" s="1"/>
  <c r="F10" i="11"/>
  <c r="E10" i="11"/>
  <c r="E15" i="11"/>
  <c r="F15" i="11"/>
  <c r="E26" i="11"/>
  <c r="F26" i="11"/>
  <c r="F11" i="11"/>
  <c r="E11" i="11"/>
  <c r="F7" i="11"/>
  <c r="E7" i="11"/>
  <c r="F25" i="11"/>
  <c r="E25" i="11"/>
  <c r="E22" i="11"/>
  <c r="F22" i="11"/>
  <c r="F24" i="11"/>
  <c r="E24" i="11"/>
  <c r="E8" i="11"/>
  <c r="F8" i="11"/>
  <c r="F13" i="11"/>
  <c r="E13" i="11"/>
  <c r="E23" i="11"/>
  <c r="F23" i="11"/>
  <c r="F21" i="11"/>
  <c r="E21" i="11"/>
  <c r="E16" i="11"/>
  <c r="F16" i="11"/>
  <c r="E12" i="11"/>
  <c r="F12" i="11"/>
  <c r="E9" i="11"/>
  <c r="F9" i="11"/>
  <c r="E14" i="11"/>
  <c r="G14" i="11" s="1"/>
  <c r="F17" i="11"/>
  <c r="G17" i="11" s="1"/>
  <c r="E20" i="11"/>
  <c r="E19" i="11"/>
  <c r="G19" i="11" s="1"/>
  <c r="E5" i="11"/>
  <c r="G5" i="11" s="1"/>
  <c r="E18" i="11"/>
  <c r="G18" i="11" s="1"/>
  <c r="F6" i="11"/>
  <c r="G6" i="11" s="1"/>
  <c r="I112" i="3" s="1"/>
  <c r="F3" i="11"/>
  <c r="E3" i="11"/>
  <c r="E2" i="11"/>
  <c r="F2" i="11"/>
  <c r="F70" i="3"/>
  <c r="B12" i="8"/>
  <c r="AR12" i="8"/>
  <c r="AN12" i="8"/>
  <c r="AJ12" i="8"/>
  <c r="AF12" i="8"/>
  <c r="AB12" i="8"/>
  <c r="X12" i="8"/>
  <c r="T12" i="8"/>
  <c r="P12" i="8"/>
  <c r="L12" i="8"/>
  <c r="AR11" i="8"/>
  <c r="AN11" i="8"/>
  <c r="AJ11" i="8"/>
  <c r="AF11" i="8"/>
  <c r="AB11" i="8"/>
  <c r="X11" i="8"/>
  <c r="T11" i="8"/>
  <c r="P11" i="8"/>
  <c r="L11" i="8"/>
  <c r="M16" i="8" s="1"/>
  <c r="AS16" i="8" l="1"/>
  <c r="AQ24" i="8"/>
  <c r="AQ26" i="8" s="1"/>
  <c r="AQ23" i="8" s="1"/>
  <c r="J108" i="3"/>
  <c r="J109" i="3"/>
  <c r="E4" i="11"/>
  <c r="AO16" i="8"/>
  <c r="AM24" i="8"/>
  <c r="AM26" i="8" s="1"/>
  <c r="AM23" i="8" s="1"/>
  <c r="AI24" i="8"/>
  <c r="AI26" i="8" s="1"/>
  <c r="AI23" i="8" s="1"/>
  <c r="AK16" i="8"/>
  <c r="AE24" i="8"/>
  <c r="AE26" i="8" s="1"/>
  <c r="AE23" i="8" s="1"/>
  <c r="AG16" i="8"/>
  <c r="AA24" i="8"/>
  <c r="AA26" i="8" s="1"/>
  <c r="AA23" i="8" s="1"/>
  <c r="AC16" i="8"/>
  <c r="W24" i="8"/>
  <c r="W26" i="8" s="1"/>
  <c r="W23" i="8" s="1"/>
  <c r="Y16" i="8"/>
  <c r="S24" i="8"/>
  <c r="S26" i="8" s="1"/>
  <c r="S23" i="8" s="1"/>
  <c r="U16" i="8"/>
  <c r="O24" i="8"/>
  <c r="O26" i="8" s="1"/>
  <c r="O23" i="8" s="1"/>
  <c r="Q16" i="8"/>
  <c r="K24" i="8"/>
  <c r="K26" i="8" s="1"/>
  <c r="K23" i="8" s="1"/>
  <c r="G20" i="11"/>
  <c r="H126" i="3" s="1"/>
  <c r="I126" i="3" s="1"/>
  <c r="H111" i="3"/>
  <c r="I111" i="3" s="1"/>
  <c r="G13" i="11"/>
  <c r="G24" i="11"/>
  <c r="G11" i="11"/>
  <c r="C26" i="16"/>
  <c r="C25" i="16" s="1"/>
  <c r="G25" i="11"/>
  <c r="G10" i="11"/>
  <c r="H116" i="3" s="1"/>
  <c r="I116" i="3" s="1"/>
  <c r="G22" i="11"/>
  <c r="G12" i="11"/>
  <c r="G16" i="11"/>
  <c r="G21" i="11"/>
  <c r="G7" i="11"/>
  <c r="H113" i="3" s="1"/>
  <c r="I113" i="3" s="1"/>
  <c r="G23" i="11"/>
  <c r="G8" i="11"/>
  <c r="H114" i="3" s="1"/>
  <c r="I114" i="3" s="1"/>
  <c r="G15" i="11"/>
  <c r="G9" i="11"/>
  <c r="H115" i="3" s="1"/>
  <c r="I115" i="3" s="1"/>
  <c r="G26" i="11"/>
  <c r="G3" i="11"/>
  <c r="G2" i="11"/>
  <c r="H108" i="3" s="1"/>
  <c r="J26" i="1"/>
  <c r="G26" i="1"/>
  <c r="K26" i="1" s="1"/>
  <c r="D26" i="1"/>
  <c r="G67" i="1" s="1"/>
  <c r="G66" i="1"/>
  <c r="C51" i="16" l="1"/>
  <c r="AQ22" i="8"/>
  <c r="AR22" i="8" s="1"/>
  <c r="G4" i="11"/>
  <c r="H110" i="3" s="1"/>
  <c r="I110" i="3" s="1"/>
  <c r="J110" i="3"/>
  <c r="W22" i="8"/>
  <c r="X22" i="8" s="1"/>
  <c r="AE22" i="8"/>
  <c r="AF22" i="8" s="1"/>
  <c r="AM22" i="8"/>
  <c r="AN22" i="8" s="1"/>
  <c r="AI22" i="8"/>
  <c r="AJ22" i="8" s="1"/>
  <c r="O22" i="8"/>
  <c r="P22" i="8" s="1"/>
  <c r="AA22" i="8"/>
  <c r="AB22" i="8" s="1"/>
  <c r="S22" i="8"/>
  <c r="T22" i="8" s="1"/>
  <c r="K22" i="8"/>
  <c r="I108" i="3"/>
  <c r="H109" i="3"/>
  <c r="I109" i="3" s="1"/>
  <c r="K32" i="8"/>
  <c r="D15" i="6"/>
  <c r="D4" i="6"/>
  <c r="D5" i="6"/>
  <c r="D6" i="6"/>
  <c r="D7" i="6"/>
  <c r="D8" i="6"/>
  <c r="D9" i="6"/>
  <c r="D10" i="6"/>
  <c r="D11" i="6"/>
  <c r="D12" i="6"/>
  <c r="D13" i="6"/>
  <c r="D14" i="6"/>
  <c r="D16" i="6"/>
  <c r="D17" i="6"/>
  <c r="D18" i="6"/>
  <c r="D19" i="6"/>
  <c r="D20" i="6"/>
  <c r="D56" i="1" s="1"/>
  <c r="L57" i="1" s="1"/>
  <c r="C53" i="16" s="1"/>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263" i="6"/>
  <c r="D264" i="6"/>
  <c r="D265" i="6"/>
  <c r="D266" i="6"/>
  <c r="D267" i="6"/>
  <c r="D268" i="6"/>
  <c r="D269" i="6"/>
  <c r="D270" i="6"/>
  <c r="D271" i="6"/>
  <c r="D272" i="6"/>
  <c r="D273" i="6"/>
  <c r="D274" i="6"/>
  <c r="D275" i="6"/>
  <c r="D276" i="6"/>
  <c r="D277" i="6"/>
  <c r="D278" i="6"/>
  <c r="D279" i="6"/>
  <c r="D280" i="6"/>
  <c r="D281" i="6"/>
  <c r="D282" i="6"/>
  <c r="D283" i="6"/>
  <c r="D284" i="6"/>
  <c r="D285" i="6"/>
  <c r="D286" i="6"/>
  <c r="D287" i="6"/>
  <c r="D288" i="6"/>
  <c r="D289" i="6"/>
  <c r="D290" i="6"/>
  <c r="D291" i="6"/>
  <c r="D292" i="6"/>
  <c r="D293" i="6"/>
  <c r="D294" i="6"/>
  <c r="D295" i="6"/>
  <c r="D296" i="6"/>
  <c r="D297" i="6"/>
  <c r="D298" i="6"/>
  <c r="D299" i="6"/>
  <c r="D300" i="6"/>
  <c r="D301" i="6"/>
  <c r="D302" i="6"/>
  <c r="D303" i="6"/>
  <c r="D304" i="6"/>
  <c r="D305" i="6"/>
  <c r="D306" i="6"/>
  <c r="D307" i="6"/>
  <c r="D308" i="6"/>
  <c r="D309" i="6"/>
  <c r="D310" i="6"/>
  <c r="D311" i="6"/>
  <c r="D312" i="6"/>
  <c r="D313" i="6"/>
  <c r="D314" i="6"/>
  <c r="D315" i="6"/>
  <c r="D316" i="6"/>
  <c r="D317" i="6"/>
  <c r="D318" i="6"/>
  <c r="D319" i="6"/>
  <c r="D320" i="6"/>
  <c r="D321" i="6"/>
  <c r="D322" i="6"/>
  <c r="D323" i="6"/>
  <c r="D324" i="6"/>
  <c r="D325" i="6"/>
  <c r="D326" i="6"/>
  <c r="D327" i="6"/>
  <c r="D328" i="6"/>
  <c r="D329" i="6"/>
  <c r="D330" i="6"/>
  <c r="D331" i="6"/>
  <c r="D332" i="6"/>
  <c r="D333" i="6"/>
  <c r="D334" i="6"/>
  <c r="D335" i="6"/>
  <c r="D336" i="6"/>
  <c r="D337" i="6"/>
  <c r="D338" i="6"/>
  <c r="D339" i="6"/>
  <c r="D340" i="6"/>
  <c r="D341" i="6"/>
  <c r="D342" i="6"/>
  <c r="D343" i="6"/>
  <c r="D344" i="6"/>
  <c r="D345" i="6"/>
  <c r="D346" i="6"/>
  <c r="D347" i="6"/>
  <c r="D348" i="6"/>
  <c r="D349" i="6"/>
  <c r="D350" i="6"/>
  <c r="D351" i="6"/>
  <c r="D352" i="6"/>
  <c r="D353" i="6"/>
  <c r="D354" i="6"/>
  <c r="D355" i="6"/>
  <c r="D356" i="6"/>
  <c r="D357" i="6"/>
  <c r="D358" i="6"/>
  <c r="D359" i="6"/>
  <c r="D360" i="6"/>
  <c r="D361" i="6"/>
  <c r="D362" i="6"/>
  <c r="D363" i="6"/>
  <c r="D364" i="6"/>
  <c r="D365" i="6"/>
  <c r="D366" i="6"/>
  <c r="D367" i="6"/>
  <c r="D368" i="6"/>
  <c r="D369" i="6"/>
  <c r="D370" i="6"/>
  <c r="D371" i="6"/>
  <c r="D372" i="6"/>
  <c r="D373" i="6"/>
  <c r="D374" i="6"/>
  <c r="D375" i="6"/>
  <c r="D376" i="6"/>
  <c r="D377" i="6"/>
  <c r="D378" i="6"/>
  <c r="D379" i="6"/>
  <c r="D380" i="6"/>
  <c r="D381" i="6"/>
  <c r="D382" i="6"/>
  <c r="D383" i="6"/>
  <c r="D384" i="6"/>
  <c r="D385" i="6"/>
  <c r="D386" i="6"/>
  <c r="D387" i="6"/>
  <c r="D388" i="6"/>
  <c r="D389" i="6"/>
  <c r="D390" i="6"/>
  <c r="D391" i="6"/>
  <c r="D392" i="6"/>
  <c r="D393" i="6"/>
  <c r="D394" i="6"/>
  <c r="D395" i="6"/>
  <c r="D396" i="6"/>
  <c r="D397" i="6"/>
  <c r="D398" i="6"/>
  <c r="D399" i="6"/>
  <c r="D400" i="6"/>
  <c r="D401" i="6"/>
  <c r="D402" i="6"/>
  <c r="D403" i="6"/>
  <c r="D404" i="6"/>
  <c r="D405" i="6"/>
  <c r="D406" i="6"/>
  <c r="D407" i="6"/>
  <c r="D408" i="6"/>
  <c r="D409" i="6"/>
  <c r="D410" i="6"/>
  <c r="D411" i="6"/>
  <c r="D412" i="6"/>
  <c r="D413" i="6"/>
  <c r="D414" i="6"/>
  <c r="D415" i="6"/>
  <c r="D416" i="6"/>
  <c r="D417" i="6"/>
  <c r="D418" i="6"/>
  <c r="D419" i="6"/>
  <c r="D420" i="6"/>
  <c r="D421" i="6"/>
  <c r="D422" i="6"/>
  <c r="D423" i="6"/>
  <c r="D424" i="6"/>
  <c r="D425" i="6"/>
  <c r="D426" i="6"/>
  <c r="D427" i="6"/>
  <c r="D428" i="6"/>
  <c r="D429" i="6"/>
  <c r="D430" i="6"/>
  <c r="D431" i="6"/>
  <c r="D432" i="6"/>
  <c r="D433" i="6"/>
  <c r="D434" i="6"/>
  <c r="D435" i="6"/>
  <c r="D436" i="6"/>
  <c r="D437" i="6"/>
  <c r="D438" i="6"/>
  <c r="D439" i="6"/>
  <c r="D440" i="6"/>
  <c r="D441" i="6"/>
  <c r="D442" i="6"/>
  <c r="D443" i="6"/>
  <c r="D444" i="6"/>
  <c r="D445" i="6"/>
  <c r="D446" i="6"/>
  <c r="D447" i="6"/>
  <c r="D448" i="6"/>
  <c r="D449" i="6"/>
  <c r="D450" i="6"/>
  <c r="D451" i="6"/>
  <c r="D452" i="6"/>
  <c r="D453" i="6"/>
  <c r="D454" i="6"/>
  <c r="D455" i="6"/>
  <c r="D456" i="6"/>
  <c r="D457" i="6"/>
  <c r="D458" i="6"/>
  <c r="D459" i="6"/>
  <c r="D460" i="6"/>
  <c r="D461" i="6"/>
  <c r="D462" i="6"/>
  <c r="D463" i="6"/>
  <c r="D464" i="6"/>
  <c r="D465" i="6"/>
  <c r="D466" i="6"/>
  <c r="D467" i="6"/>
  <c r="D468" i="6"/>
  <c r="D469" i="6"/>
  <c r="D470" i="6"/>
  <c r="D471" i="6"/>
  <c r="D472" i="6"/>
  <c r="D473" i="6"/>
  <c r="D474" i="6"/>
  <c r="D475" i="6"/>
  <c r="D476" i="6"/>
  <c r="D477" i="6"/>
  <c r="D478" i="6"/>
  <c r="D479" i="6"/>
  <c r="D480" i="6"/>
  <c r="D481" i="6"/>
  <c r="D482" i="6"/>
  <c r="D483" i="6"/>
  <c r="D484" i="6"/>
  <c r="D485" i="6"/>
  <c r="D486" i="6"/>
  <c r="D487" i="6"/>
  <c r="D488" i="6"/>
  <c r="D489" i="6"/>
  <c r="D490" i="6"/>
  <c r="D491" i="6"/>
  <c r="D492" i="6"/>
  <c r="D493" i="6"/>
  <c r="D494" i="6"/>
  <c r="D495" i="6"/>
  <c r="D496" i="6"/>
  <c r="D497" i="6"/>
  <c r="D498" i="6"/>
  <c r="D499" i="6"/>
  <c r="D500" i="6"/>
  <c r="D501" i="6"/>
  <c r="D502" i="6"/>
  <c r="D503" i="6"/>
  <c r="D504" i="6"/>
  <c r="D505" i="6"/>
  <c r="D506" i="6"/>
  <c r="D507" i="6"/>
  <c r="D508" i="6"/>
  <c r="D509" i="6"/>
  <c r="D510" i="6"/>
  <c r="D511" i="6"/>
  <c r="D512" i="6"/>
  <c r="D513" i="6"/>
  <c r="D514" i="6"/>
  <c r="D515" i="6"/>
  <c r="D516" i="6"/>
  <c r="D517" i="6"/>
  <c r="D518" i="6"/>
  <c r="D519" i="6"/>
  <c r="D520" i="6"/>
  <c r="D521" i="6"/>
  <c r="D522" i="6"/>
  <c r="D523" i="6"/>
  <c r="D524" i="6"/>
  <c r="D525" i="6"/>
  <c r="D526" i="6"/>
  <c r="D527" i="6"/>
  <c r="D528" i="6"/>
  <c r="D529" i="6"/>
  <c r="D530" i="6"/>
  <c r="D531" i="6"/>
  <c r="D532" i="6"/>
  <c r="D533" i="6"/>
  <c r="D534" i="6"/>
  <c r="D535" i="6"/>
  <c r="D536" i="6"/>
  <c r="D537" i="6"/>
  <c r="D538" i="6"/>
  <c r="D539" i="6"/>
  <c r="D540" i="6"/>
  <c r="D541" i="6"/>
  <c r="D542" i="6"/>
  <c r="D543" i="6"/>
  <c r="D544" i="6"/>
  <c r="D545" i="6"/>
  <c r="D546" i="6"/>
  <c r="D547" i="6"/>
  <c r="D548" i="6"/>
  <c r="D549" i="6"/>
  <c r="D550" i="6"/>
  <c r="D551" i="6"/>
  <c r="D552" i="6"/>
  <c r="D553" i="6"/>
  <c r="D554" i="6"/>
  <c r="D555" i="6"/>
  <c r="D556" i="6"/>
  <c r="D557" i="6"/>
  <c r="D558" i="6"/>
  <c r="D559" i="6"/>
  <c r="D560" i="6"/>
  <c r="D561" i="6"/>
  <c r="D562" i="6"/>
  <c r="D563" i="6"/>
  <c r="D564" i="6"/>
  <c r="D565" i="6"/>
  <c r="D566" i="6"/>
  <c r="D567" i="6"/>
  <c r="D568" i="6"/>
  <c r="D569" i="6"/>
  <c r="D570" i="6"/>
  <c r="D571" i="6"/>
  <c r="D572" i="6"/>
  <c r="D573" i="6"/>
  <c r="D574" i="6"/>
  <c r="D575" i="6"/>
  <c r="D576" i="6"/>
  <c r="D577" i="6"/>
  <c r="D578" i="6"/>
  <c r="D579" i="6"/>
  <c r="D580" i="6"/>
  <c r="D581" i="6"/>
  <c r="D582" i="6"/>
  <c r="D583" i="6"/>
  <c r="D584" i="6"/>
  <c r="D585" i="6"/>
  <c r="D586" i="6"/>
  <c r="D587" i="6"/>
  <c r="D588" i="6"/>
  <c r="D589" i="6"/>
  <c r="D590" i="6"/>
  <c r="D591" i="6"/>
  <c r="D592" i="6"/>
  <c r="D593" i="6"/>
  <c r="D594" i="6"/>
  <c r="D595" i="6"/>
  <c r="D596" i="6"/>
  <c r="D597" i="6"/>
  <c r="D598" i="6"/>
  <c r="D599" i="6"/>
  <c r="D600" i="6"/>
  <c r="D601" i="6"/>
  <c r="D602" i="6"/>
  <c r="D603" i="6"/>
  <c r="D604" i="6"/>
  <c r="D605" i="6"/>
  <c r="D606" i="6"/>
  <c r="D607" i="6"/>
  <c r="D608" i="6"/>
  <c r="D609" i="6"/>
  <c r="D610" i="6"/>
  <c r="D611" i="6"/>
  <c r="D612" i="6"/>
  <c r="D613" i="6"/>
  <c r="D614" i="6"/>
  <c r="D615" i="6"/>
  <c r="D616" i="6"/>
  <c r="D617" i="6"/>
  <c r="D618" i="6"/>
  <c r="D619" i="6"/>
  <c r="D620" i="6"/>
  <c r="D621" i="6"/>
  <c r="D622" i="6"/>
  <c r="D623" i="6"/>
  <c r="D624" i="6"/>
  <c r="D625" i="6"/>
  <c r="D626" i="6"/>
  <c r="D627" i="6"/>
  <c r="D628" i="6"/>
  <c r="D629" i="6"/>
  <c r="D630" i="6"/>
  <c r="D631" i="6"/>
  <c r="D632" i="6"/>
  <c r="D633" i="6"/>
  <c r="D634" i="6"/>
  <c r="D635" i="6"/>
  <c r="D636" i="6"/>
  <c r="D637" i="6"/>
  <c r="D638" i="6"/>
  <c r="D639" i="6"/>
  <c r="D640" i="6"/>
  <c r="D641" i="6"/>
  <c r="D642" i="6"/>
  <c r="D643" i="6"/>
  <c r="D644" i="6"/>
  <c r="D645" i="6"/>
  <c r="D646" i="6"/>
  <c r="D647" i="6"/>
  <c r="D648" i="6"/>
  <c r="D649" i="6"/>
  <c r="D650" i="6"/>
  <c r="D651" i="6"/>
  <c r="D652" i="6"/>
  <c r="D653" i="6"/>
  <c r="D654" i="6"/>
  <c r="D655" i="6"/>
  <c r="D656" i="6"/>
  <c r="D657" i="6"/>
  <c r="D658" i="6"/>
  <c r="D659" i="6"/>
  <c r="D660" i="6"/>
  <c r="D661" i="6"/>
  <c r="D662" i="6"/>
  <c r="D663" i="6"/>
  <c r="D664" i="6"/>
  <c r="D665" i="6"/>
  <c r="D666" i="6"/>
  <c r="D667" i="6"/>
  <c r="D668" i="6"/>
  <c r="D669" i="6"/>
  <c r="D670" i="6"/>
  <c r="D671" i="6"/>
  <c r="D672" i="6"/>
  <c r="D673" i="6"/>
  <c r="D674" i="6"/>
  <c r="D675" i="6"/>
  <c r="D676" i="6"/>
  <c r="D677" i="6"/>
  <c r="D678" i="6"/>
  <c r="D679" i="6"/>
  <c r="D680" i="6"/>
  <c r="D681" i="6"/>
  <c r="D682" i="6"/>
  <c r="D683" i="6"/>
  <c r="D684" i="6"/>
  <c r="D685" i="6"/>
  <c r="D686" i="6"/>
  <c r="D687" i="6"/>
  <c r="D688" i="6"/>
  <c r="D689" i="6"/>
  <c r="D690" i="6"/>
  <c r="D691" i="6"/>
  <c r="D692" i="6"/>
  <c r="D693" i="6"/>
  <c r="D694" i="6"/>
  <c r="D695" i="6"/>
  <c r="D696" i="6"/>
  <c r="D697" i="6"/>
  <c r="D698" i="6"/>
  <c r="D699" i="6"/>
  <c r="D700" i="6"/>
  <c r="D701" i="6"/>
  <c r="D702" i="6"/>
  <c r="D703" i="6"/>
  <c r="D704" i="6"/>
  <c r="D705" i="6"/>
  <c r="D706" i="6"/>
  <c r="D707" i="6"/>
  <c r="D708" i="6"/>
  <c r="D709" i="6"/>
  <c r="D710" i="6"/>
  <c r="D711" i="6"/>
  <c r="D712" i="6"/>
  <c r="D713" i="6"/>
  <c r="D714" i="6"/>
  <c r="D715" i="6"/>
  <c r="D716" i="6"/>
  <c r="D717" i="6"/>
  <c r="D718" i="6"/>
  <c r="D719" i="6"/>
  <c r="D720" i="6"/>
  <c r="D721" i="6"/>
  <c r="D722" i="6"/>
  <c r="D723" i="6"/>
  <c r="D724" i="6"/>
  <c r="D725" i="6"/>
  <c r="D726" i="6"/>
  <c r="D727" i="6"/>
  <c r="D728" i="6"/>
  <c r="D729" i="6"/>
  <c r="D730" i="6"/>
  <c r="D731" i="6"/>
  <c r="D732" i="6"/>
  <c r="D733" i="6"/>
  <c r="D734" i="6"/>
  <c r="D735" i="6"/>
  <c r="D736" i="6"/>
  <c r="D737" i="6"/>
  <c r="D738" i="6"/>
  <c r="D739" i="6"/>
  <c r="D740" i="6"/>
  <c r="D741" i="6"/>
  <c r="D742" i="6"/>
  <c r="D743" i="6"/>
  <c r="D744" i="6"/>
  <c r="D745" i="6"/>
  <c r="D746" i="6"/>
  <c r="D747" i="6"/>
  <c r="D748" i="6"/>
  <c r="D749" i="6"/>
  <c r="D750" i="6"/>
  <c r="D751" i="6"/>
  <c r="D752" i="6"/>
  <c r="D753" i="6"/>
  <c r="D754" i="6"/>
  <c r="D755" i="6"/>
  <c r="D756" i="6"/>
  <c r="D757" i="6"/>
  <c r="D758" i="6"/>
  <c r="D759" i="6"/>
  <c r="D760" i="6"/>
  <c r="D761" i="6"/>
  <c r="D762" i="6"/>
  <c r="D763" i="6"/>
  <c r="D764" i="6"/>
  <c r="D765" i="6"/>
  <c r="D766" i="6"/>
  <c r="D767" i="6"/>
  <c r="D768" i="6"/>
  <c r="D769" i="6"/>
  <c r="D770" i="6"/>
  <c r="D771" i="6"/>
  <c r="D772" i="6"/>
  <c r="D773" i="6"/>
  <c r="D774" i="6"/>
  <c r="D775" i="6"/>
  <c r="D776" i="6"/>
  <c r="D777" i="6"/>
  <c r="D778" i="6"/>
  <c r="D779" i="6"/>
  <c r="D780" i="6"/>
  <c r="D781" i="6"/>
  <c r="D782" i="6"/>
  <c r="D783" i="6"/>
  <c r="D784" i="6"/>
  <c r="D785" i="6"/>
  <c r="D786" i="6"/>
  <c r="D787" i="6"/>
  <c r="D788" i="6"/>
  <c r="D789" i="6"/>
  <c r="D790" i="6"/>
  <c r="D791" i="6"/>
  <c r="D792" i="6"/>
  <c r="D793" i="6"/>
  <c r="D794" i="6"/>
  <c r="D795" i="6"/>
  <c r="D796" i="6"/>
  <c r="D797" i="6"/>
  <c r="D798" i="6"/>
  <c r="D799" i="6"/>
  <c r="D800" i="6"/>
  <c r="D801" i="6"/>
  <c r="D802" i="6"/>
  <c r="D803" i="6"/>
  <c r="D804" i="6"/>
  <c r="D805" i="6"/>
  <c r="D806" i="6"/>
  <c r="D807" i="6"/>
  <c r="D808" i="6"/>
  <c r="D809" i="6"/>
  <c r="D810" i="6"/>
  <c r="D811" i="6"/>
  <c r="D812" i="6"/>
  <c r="D813" i="6"/>
  <c r="D814" i="6"/>
  <c r="D815" i="6"/>
  <c r="D816" i="6"/>
  <c r="D817" i="6"/>
  <c r="D818" i="6"/>
  <c r="D819" i="6"/>
  <c r="D820" i="6"/>
  <c r="D821" i="6"/>
  <c r="D822" i="6"/>
  <c r="D823" i="6"/>
  <c r="D824" i="6"/>
  <c r="D825" i="6"/>
  <c r="D826" i="6"/>
  <c r="D827" i="6"/>
  <c r="D828" i="6"/>
  <c r="D829" i="6"/>
  <c r="D830" i="6"/>
  <c r="D831" i="6"/>
  <c r="D832" i="6"/>
  <c r="D833" i="6"/>
  <c r="D834" i="6"/>
  <c r="D835" i="6"/>
  <c r="D836" i="6"/>
  <c r="D837" i="6"/>
  <c r="D838" i="6"/>
  <c r="D839" i="6"/>
  <c r="D840" i="6"/>
  <c r="D841" i="6"/>
  <c r="D842" i="6"/>
  <c r="D843" i="6"/>
  <c r="D844" i="6"/>
  <c r="D845" i="6"/>
  <c r="D846" i="6"/>
  <c r="D847" i="6"/>
  <c r="D848" i="6"/>
  <c r="D849" i="6"/>
  <c r="D850" i="6"/>
  <c r="D851" i="6"/>
  <c r="D852" i="6"/>
  <c r="D853" i="6"/>
  <c r="D854" i="6"/>
  <c r="D855" i="6"/>
  <c r="D856" i="6"/>
  <c r="D857" i="6"/>
  <c r="D858" i="6"/>
  <c r="D859" i="6"/>
  <c r="D860" i="6"/>
  <c r="D861" i="6"/>
  <c r="D862" i="6"/>
  <c r="D863" i="6"/>
  <c r="D864" i="6"/>
  <c r="D865" i="6"/>
  <c r="D866" i="6"/>
  <c r="D867" i="6"/>
  <c r="D868" i="6"/>
  <c r="D869" i="6"/>
  <c r="D870" i="6"/>
  <c r="D871" i="6"/>
  <c r="D872" i="6"/>
  <c r="D873" i="6"/>
  <c r="D874" i="6"/>
  <c r="D875" i="6"/>
  <c r="D876" i="6"/>
  <c r="D877" i="6"/>
  <c r="D878" i="6"/>
  <c r="D879" i="6"/>
  <c r="D880" i="6"/>
  <c r="D881" i="6"/>
  <c r="D882" i="6"/>
  <c r="D883" i="6"/>
  <c r="D884" i="6"/>
  <c r="D885" i="6"/>
  <c r="D886" i="6"/>
  <c r="D887" i="6"/>
  <c r="D888" i="6"/>
  <c r="D889" i="6"/>
  <c r="D890" i="6"/>
  <c r="D891" i="6"/>
  <c r="D892" i="6"/>
  <c r="D893" i="6"/>
  <c r="D894" i="6"/>
  <c r="D895" i="6"/>
  <c r="D896" i="6"/>
  <c r="D897" i="6"/>
  <c r="D898" i="6"/>
  <c r="D899" i="6"/>
  <c r="D900" i="6"/>
  <c r="D901" i="6"/>
  <c r="D902" i="6"/>
  <c r="D903" i="6"/>
  <c r="D904" i="6"/>
  <c r="D905" i="6"/>
  <c r="D906" i="6"/>
  <c r="D907" i="6"/>
  <c r="D908" i="6"/>
  <c r="D909" i="6"/>
  <c r="D910" i="6"/>
  <c r="D911" i="6"/>
  <c r="D912" i="6"/>
  <c r="D913" i="6"/>
  <c r="D914" i="6"/>
  <c r="D915" i="6"/>
  <c r="D916" i="6"/>
  <c r="D917" i="6"/>
  <c r="D918" i="6"/>
  <c r="D919" i="6"/>
  <c r="D920" i="6"/>
  <c r="D921" i="6"/>
  <c r="D922" i="6"/>
  <c r="D923" i="6"/>
  <c r="D924" i="6"/>
  <c r="D925" i="6"/>
  <c r="D926" i="6"/>
  <c r="D927" i="6"/>
  <c r="D928" i="6"/>
  <c r="D929" i="6"/>
  <c r="D930" i="6"/>
  <c r="D931" i="6"/>
  <c r="D932" i="6"/>
  <c r="D933" i="6"/>
  <c r="D934" i="6"/>
  <c r="D935" i="6"/>
  <c r="D936" i="6"/>
  <c r="D937" i="6"/>
  <c r="D938" i="6"/>
  <c r="D939" i="6"/>
  <c r="D940" i="6"/>
  <c r="D941" i="6"/>
  <c r="D942" i="6"/>
  <c r="D943" i="6"/>
  <c r="D944" i="6"/>
  <c r="D945" i="6"/>
  <c r="D946" i="6"/>
  <c r="D947" i="6"/>
  <c r="D948" i="6"/>
  <c r="D949" i="6"/>
  <c r="D950" i="6"/>
  <c r="D951" i="6"/>
  <c r="D952" i="6"/>
  <c r="D953" i="6"/>
  <c r="D954" i="6"/>
  <c r="D955" i="6"/>
  <c r="D956" i="6"/>
  <c r="D957" i="6"/>
  <c r="D958" i="6"/>
  <c r="D959" i="6"/>
  <c r="D960" i="6"/>
  <c r="D961" i="6"/>
  <c r="D962" i="6"/>
  <c r="D963" i="6"/>
  <c r="D964" i="6"/>
  <c r="D965" i="6"/>
  <c r="D966" i="6"/>
  <c r="D967" i="6"/>
  <c r="D968" i="6"/>
  <c r="D969" i="6"/>
  <c r="D970" i="6"/>
  <c r="D971" i="6"/>
  <c r="D972" i="6"/>
  <c r="D973" i="6"/>
  <c r="D974" i="6"/>
  <c r="D975" i="6"/>
  <c r="D976" i="6"/>
  <c r="D977" i="6"/>
  <c r="D978" i="6"/>
  <c r="D979" i="6"/>
  <c r="D980" i="6"/>
  <c r="D981" i="6"/>
  <c r="D982" i="6"/>
  <c r="D983" i="6"/>
  <c r="D984" i="6"/>
  <c r="D985" i="6"/>
  <c r="D986" i="6"/>
  <c r="D987" i="6"/>
  <c r="D988" i="6"/>
  <c r="D989" i="6"/>
  <c r="D990" i="6"/>
  <c r="D991" i="6"/>
  <c r="D992" i="6"/>
  <c r="D993" i="6"/>
  <c r="D994" i="6"/>
  <c r="D995" i="6"/>
  <c r="D996" i="6"/>
  <c r="D997" i="6"/>
  <c r="D998" i="6"/>
  <c r="D999" i="6"/>
  <c r="D1000" i="6"/>
  <c r="D1001" i="6"/>
  <c r="D1002" i="6"/>
  <c r="D1003" i="6"/>
  <c r="D1004" i="6"/>
  <c r="D1005" i="6"/>
  <c r="D1006" i="6"/>
  <c r="D1007" i="6"/>
  <c r="D1008" i="6"/>
  <c r="D1009" i="6"/>
  <c r="D1010" i="6"/>
  <c r="D1011" i="6"/>
  <c r="D1012" i="6"/>
  <c r="D1013" i="6"/>
  <c r="D1014" i="6"/>
  <c r="D1015" i="6"/>
  <c r="D1016" i="6"/>
  <c r="D1017" i="6"/>
  <c r="D1018" i="6"/>
  <c r="D1019" i="6"/>
  <c r="D1020" i="6"/>
  <c r="D1021" i="6"/>
  <c r="D1022" i="6"/>
  <c r="D1023" i="6"/>
  <c r="D1024" i="6"/>
  <c r="D1025" i="6"/>
  <c r="D1026" i="6"/>
  <c r="D1027" i="6"/>
  <c r="D1028" i="6"/>
  <c r="D1029" i="6"/>
  <c r="D1030" i="6"/>
  <c r="D1031" i="6"/>
  <c r="D1032" i="6"/>
  <c r="D1033" i="6"/>
  <c r="D1034" i="6"/>
  <c r="D1035" i="6"/>
  <c r="D1036" i="6"/>
  <c r="D1037" i="6"/>
  <c r="D1038" i="6"/>
  <c r="D1039" i="6"/>
  <c r="D1040" i="6"/>
  <c r="D1041" i="6"/>
  <c r="D1042" i="6"/>
  <c r="D1043" i="6"/>
  <c r="D1044" i="6"/>
  <c r="D1045" i="6"/>
  <c r="D1046" i="6"/>
  <c r="D1047" i="6"/>
  <c r="D1048" i="6"/>
  <c r="D1049" i="6"/>
  <c r="C50" i="16" l="1"/>
  <c r="L22" i="8"/>
  <c r="B32" i="8" s="1"/>
  <c r="J14" i="1" l="1"/>
  <c r="A32" i="8"/>
  <c r="G14" i="1" s="1"/>
  <c r="K14" i="1" s="1"/>
  <c r="I32" i="7"/>
  <c r="I31" i="7"/>
  <c r="I7" i="7"/>
  <c r="I6" i="7"/>
  <c r="E176" i="1"/>
  <c r="C30" i="16" s="1"/>
  <c r="C28" i="16" s="1"/>
  <c r="H160" i="3"/>
  <c r="I100" i="3"/>
  <c r="F71" i="3"/>
  <c r="F72" i="3"/>
  <c r="F73" i="3"/>
  <c r="F74" i="3"/>
  <c r="F75" i="3"/>
  <c r="F76" i="3"/>
  <c r="F77" i="3"/>
  <c r="F78" i="3"/>
  <c r="F79" i="3"/>
  <c r="F80" i="3"/>
  <c r="F81" i="3"/>
  <c r="F82" i="3"/>
  <c r="F83" i="3"/>
  <c r="F84" i="3"/>
  <c r="F85" i="3"/>
  <c r="F86" i="3"/>
  <c r="F87" i="3"/>
  <c r="F88" i="3"/>
  <c r="F89" i="3"/>
  <c r="F90" i="3"/>
  <c r="F91" i="3"/>
  <c r="F92" i="3"/>
  <c r="F93" i="3"/>
  <c r="F94" i="3"/>
  <c r="B26" i="8"/>
  <c r="C12" i="16" l="1"/>
  <c r="C10" i="16" s="1"/>
  <c r="A29" i="8"/>
  <c r="K31" i="8"/>
  <c r="K33" i="8" s="1"/>
  <c r="K30" i="8" s="1"/>
  <c r="C24" i="16" l="1"/>
  <c r="C3" i="16" s="1" a="1"/>
  <c r="C3" i="16" s="1"/>
  <c r="J209" i="1" l="1"/>
  <c r="J206" i="1" l="1"/>
  <c r="D22" i="9" l="1"/>
  <c r="D18" i="9"/>
  <c r="I22" i="7" l="1"/>
  <c r="I38" i="7"/>
  <c r="C68" i="16" s="1"/>
  <c r="F44" i="3"/>
  <c r="H33" i="7" l="1"/>
  <c r="H155" i="3" l="1"/>
  <c r="H156" i="3"/>
  <c r="I164" i="3" l="1"/>
  <c r="C65" i="16" s="1"/>
  <c r="F18" i="3" l="1"/>
  <c r="I27" i="7"/>
  <c r="G3" i="6" l="1"/>
  <c r="G4" i="6"/>
  <c r="G5" i="6"/>
  <c r="G6" i="6"/>
  <c r="G7" i="6"/>
  <c r="G8" i="6"/>
  <c r="G9" i="6"/>
  <c r="G10" i="6"/>
  <c r="G11" i="6"/>
  <c r="G12" i="6"/>
  <c r="G13" i="6"/>
  <c r="G14" i="6"/>
  <c r="G15" i="6"/>
  <c r="G16" i="6"/>
  <c r="G17" i="6"/>
  <c r="G18" i="6"/>
  <c r="G19" i="6"/>
  <c r="G20" i="6"/>
  <c r="G21" i="6"/>
  <c r="G22" i="6"/>
  <c r="G23" i="6"/>
  <c r="G24" i="6"/>
  <c r="G25"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140" i="6"/>
  <c r="G141" i="6"/>
  <c r="G142" i="6"/>
  <c r="G143" i="6"/>
  <c r="G144" i="6"/>
  <c r="G145" i="6"/>
  <c r="G146" i="6"/>
  <c r="G147" i="6"/>
  <c r="G148" i="6"/>
  <c r="G149" i="6"/>
  <c r="G150" i="6"/>
  <c r="G151" i="6"/>
  <c r="G152" i="6"/>
  <c r="G153" i="6"/>
  <c r="G154" i="6"/>
  <c r="G155" i="6"/>
  <c r="G156" i="6"/>
  <c r="G157" i="6"/>
  <c r="G158" i="6"/>
  <c r="G159" i="6"/>
  <c r="G160" i="6"/>
  <c r="G161" i="6"/>
  <c r="G162" i="6"/>
  <c r="G163" i="6"/>
  <c r="G164" i="6"/>
  <c r="G165" i="6"/>
  <c r="G166" i="6"/>
  <c r="G167" i="6"/>
  <c r="G168" i="6"/>
  <c r="G169" i="6"/>
  <c r="G170" i="6"/>
  <c r="G171" i="6"/>
  <c r="G172" i="6"/>
  <c r="G173" i="6"/>
  <c r="G174" i="6"/>
  <c r="G175" i="6"/>
  <c r="G176" i="6"/>
  <c r="G177" i="6"/>
  <c r="G178" i="6"/>
  <c r="G179" i="6"/>
  <c r="G180" i="6"/>
  <c r="G181" i="6"/>
  <c r="G182" i="6"/>
  <c r="G183" i="6"/>
  <c r="G184" i="6"/>
  <c r="G185" i="6"/>
  <c r="G186" i="6"/>
  <c r="G187" i="6"/>
  <c r="G188" i="6"/>
  <c r="G189" i="6"/>
  <c r="G190" i="6"/>
  <c r="G191" i="6"/>
  <c r="G192" i="6"/>
  <c r="G193" i="6"/>
  <c r="G194" i="6"/>
  <c r="G195" i="6"/>
  <c r="G196" i="6"/>
  <c r="G197" i="6"/>
  <c r="G198" i="6"/>
  <c r="G199" i="6"/>
  <c r="G200" i="6"/>
  <c r="G201" i="6"/>
  <c r="G202" i="6"/>
  <c r="G203" i="6"/>
  <c r="G204" i="6"/>
  <c r="G205" i="6"/>
  <c r="G206" i="6"/>
  <c r="G207" i="6"/>
  <c r="G208" i="6"/>
  <c r="G209" i="6"/>
  <c r="G210" i="6"/>
  <c r="G211" i="6"/>
  <c r="G212" i="6"/>
  <c r="G213" i="6"/>
  <c r="G214" i="6"/>
  <c r="G215" i="6"/>
  <c r="G216" i="6"/>
  <c r="G217" i="6"/>
  <c r="G218" i="6"/>
  <c r="G219" i="6"/>
  <c r="G220" i="6"/>
  <c r="G221" i="6"/>
  <c r="G222" i="6"/>
  <c r="G223" i="6"/>
  <c r="G224" i="6"/>
  <c r="G225" i="6"/>
  <c r="G226" i="6"/>
  <c r="G227" i="6"/>
  <c r="G228" i="6"/>
  <c r="G229" i="6"/>
  <c r="G230" i="6"/>
  <c r="G231" i="6"/>
  <c r="G232" i="6"/>
  <c r="G233" i="6"/>
  <c r="G234" i="6"/>
  <c r="G235" i="6"/>
  <c r="G236" i="6"/>
  <c r="G237" i="6"/>
  <c r="G238" i="6"/>
  <c r="G239" i="6"/>
  <c r="G240" i="6"/>
  <c r="G241" i="6"/>
  <c r="G242" i="6"/>
  <c r="G243" i="6"/>
  <c r="G244" i="6"/>
  <c r="G245" i="6"/>
  <c r="G246" i="6"/>
  <c r="G247" i="6"/>
  <c r="G248" i="6"/>
  <c r="G249" i="6"/>
  <c r="G250" i="6"/>
  <c r="G251" i="6"/>
  <c r="G252" i="6"/>
  <c r="G253" i="6"/>
  <c r="G254" i="6"/>
  <c r="G255" i="6"/>
  <c r="G256" i="6"/>
  <c r="G257" i="6"/>
  <c r="G2" i="6"/>
  <c r="D2" i="6"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<sst xmlns="http://schemas.openxmlformats.org/spreadsheetml/2006/main" count="5364" uniqueCount="4881">
  <si>
    <t>ID</t>
  </si>
  <si>
    <t>All Economic Activities (NACE) / NA [member]</t>
  </si>
  <si>
    <t>country:AD</t>
  </si>
  <si>
    <t>A - AGRICULTURE, FORESTRY AND FISHING</t>
  </si>
  <si>
    <t>NACE_A</t>
  </si>
  <si>
    <t>country:AE</t>
  </si>
  <si>
    <t>A - 01 Crop and animal production, hunting and related service activities</t>
  </si>
  <si>
    <t>NACE_A01</t>
  </si>
  <si>
    <t>Afghanistan</t>
  </si>
  <si>
    <t>country:AF</t>
  </si>
  <si>
    <t>A - 01.1 Growing of non-perennial crops</t>
  </si>
  <si>
    <t>NACE_A011</t>
  </si>
  <si>
    <t>country:AG</t>
  </si>
  <si>
    <t>A - 01.11 Growing of cereals, other than rice, leguminous crops and oil seeds</t>
  </si>
  <si>
    <t>NACE_A0111</t>
  </si>
  <si>
    <t>Anguilla</t>
  </si>
  <si>
    <t>country:AI</t>
  </si>
  <si>
    <t>A - 01.12 Growing of rice</t>
  </si>
  <si>
    <t>NACE_A0112</t>
  </si>
  <si>
    <t>country:AL</t>
  </si>
  <si>
    <t>A - 01.13 Growing of vegetables and melons, roots and tubers</t>
  </si>
  <si>
    <t>NACE_A0113</t>
  </si>
  <si>
    <t>country:AM</t>
  </si>
  <si>
    <t>A - 01.14 Growing of sugar cane</t>
  </si>
  <si>
    <t>NACE_A0114</t>
  </si>
  <si>
    <t>country:AN</t>
  </si>
  <si>
    <t>A - 01.15 Growing of tobacco</t>
  </si>
  <si>
    <t>NACE_A0115</t>
  </si>
  <si>
    <t>Angola</t>
  </si>
  <si>
    <t>country:AO</t>
  </si>
  <si>
    <t>A - 01.16 Growing of fibre crops</t>
  </si>
  <si>
    <t>NACE_A0116</t>
  </si>
  <si>
    <t>country:AQ</t>
  </si>
  <si>
    <t>A - 01.19 Growing of other non-perennial crops</t>
  </si>
  <si>
    <t>NACE_A0119</t>
  </si>
  <si>
    <t>country:AR</t>
  </si>
  <si>
    <t>A - 01.2 Growing of perennial crops</t>
  </si>
  <si>
    <t>NACE_A012</t>
  </si>
  <si>
    <t>country:AS</t>
  </si>
  <si>
    <t>A - 01.21 Growing of grapes</t>
  </si>
  <si>
    <t>NACE_A0121</t>
  </si>
  <si>
    <t>country:AT</t>
  </si>
  <si>
    <t>A - 01.22 Growing of tropical and subtropical fruits</t>
  </si>
  <si>
    <t>NACE_A0122</t>
  </si>
  <si>
    <t>country:AU</t>
  </si>
  <si>
    <t>A - 01.23 Growing of citrus fruits</t>
  </si>
  <si>
    <t>NACE_A0123</t>
  </si>
  <si>
    <t>Aruba</t>
  </si>
  <si>
    <t>country:AW</t>
  </si>
  <si>
    <t>A - 01.24 Growing of pome fruits and stone fruits</t>
  </si>
  <si>
    <t>NACE_A0124</t>
  </si>
  <si>
    <t>country:AX</t>
  </si>
  <si>
    <t>A - 01.25 Growing of other tree and bush fruits and nuts</t>
  </si>
  <si>
    <t>NACE_A0125</t>
  </si>
  <si>
    <t>country:AZ</t>
  </si>
  <si>
    <t>A - 01.26 Growing of oleaginous fruits</t>
  </si>
  <si>
    <t>NACE_A0126</t>
  </si>
  <si>
    <t>country:BA</t>
  </si>
  <si>
    <t>A - 01.27 Growing of beverage crops</t>
  </si>
  <si>
    <t>NACE_A0127</t>
  </si>
  <si>
    <t>country:BB</t>
  </si>
  <si>
    <t>A - 01.28 Growing of spices, aromatic, drug and pharmaceutical crops</t>
  </si>
  <si>
    <t>NACE_A0128</t>
  </si>
  <si>
    <t>Bangladesh</t>
  </si>
  <si>
    <t>country:BD</t>
  </si>
  <si>
    <t>A - 01.29 Growing of other perennial crops</t>
  </si>
  <si>
    <t>NACE_A0129</t>
  </si>
  <si>
    <t>country:BE</t>
  </si>
  <si>
    <t>A - 01.3 Plant propagation</t>
  </si>
  <si>
    <t>NACE_A013</t>
  </si>
  <si>
    <t>Burkina Faso</t>
  </si>
  <si>
    <t>country:BF</t>
  </si>
  <si>
    <t>A - 01.30 Plant propagation</t>
  </si>
  <si>
    <t>NACE_A0130</t>
  </si>
  <si>
    <t>country:BG</t>
  </si>
  <si>
    <t>A - 01.4 Animal production</t>
  </si>
  <si>
    <t>NACE_A014</t>
  </si>
  <si>
    <t>country:BH</t>
  </si>
  <si>
    <t>A - 01.41 Raising of dairy cattle</t>
  </si>
  <si>
    <t>NACE_A0141</t>
  </si>
  <si>
    <t>Burundi</t>
  </si>
  <si>
    <t>country:BI</t>
  </si>
  <si>
    <t>A - 01.42 Raising of other cattle and buffaloes</t>
  </si>
  <si>
    <t>NACE_A0142</t>
  </si>
  <si>
    <t>country:BJ</t>
  </si>
  <si>
    <t>A - 01.43 Raising of horses and other equines</t>
  </si>
  <si>
    <t>NACE_A0143</t>
  </si>
  <si>
    <t>country:BL</t>
  </si>
  <si>
    <t>A - 01.44 Raising of camels and camelids</t>
  </si>
  <si>
    <t>NACE_A0144</t>
  </si>
  <si>
    <t>country:BM</t>
  </si>
  <si>
    <t>A - 01.45 Raising of sheep and goats</t>
  </si>
  <si>
    <t>NACE_A0145</t>
  </si>
  <si>
    <t>country:BN</t>
  </si>
  <si>
    <t>A - 01.46 Raising of swine and pigs</t>
  </si>
  <si>
    <t>NACE_A0146</t>
  </si>
  <si>
    <t>country:BO</t>
  </si>
  <si>
    <t>A - 01.47 Raising of poultry</t>
  </si>
  <si>
    <t>NACE_A0147</t>
  </si>
  <si>
    <t>country:BQ</t>
  </si>
  <si>
    <t>A - 01.48 Raising of other animals</t>
  </si>
  <si>
    <t>NACE_A0148</t>
  </si>
  <si>
    <t>country:BR</t>
  </si>
  <si>
    <t>A - 01.5 Mixed farming</t>
  </si>
  <si>
    <t>NACE_A015</t>
  </si>
  <si>
    <t>Bahamas</t>
  </si>
  <si>
    <t>country:BS</t>
  </si>
  <si>
    <t>A - 01.50 Mixed farming</t>
  </si>
  <si>
    <t>NACE_A0150</t>
  </si>
  <si>
    <t>country:BT</t>
  </si>
  <si>
    <t>A - 01.6 Support activities to agriculture and post-harvest crop activities</t>
  </si>
  <si>
    <t>NACE_A016</t>
  </si>
  <si>
    <t>country:BU</t>
  </si>
  <si>
    <t>A - 01.61 Support activities for crop production</t>
  </si>
  <si>
    <t>NACE_A0161</t>
  </si>
  <si>
    <t>country:BV</t>
  </si>
  <si>
    <t>A - 01.62 Support activities for animal production</t>
  </si>
  <si>
    <t>NACE_A0162</t>
  </si>
  <si>
    <t>Botswana</t>
  </si>
  <si>
    <t>country:BW</t>
  </si>
  <si>
    <t>A - 01.63 Post-harvest crop activities and seed processing for propagation</t>
  </si>
  <si>
    <t>NACE_A0163</t>
  </si>
  <si>
    <t>country:BY</t>
  </si>
  <si>
    <t>A - 01.7 Hunting, trapping and related service activities</t>
  </si>
  <si>
    <t>NACE_A017</t>
  </si>
  <si>
    <t>Belize</t>
  </si>
  <si>
    <t>country:BZ</t>
  </si>
  <si>
    <t>A - 01.70 Hunting, trapping and related service activities</t>
  </si>
  <si>
    <t>NACE_A0170</t>
  </si>
  <si>
    <t>Canada</t>
  </si>
  <si>
    <t>country:CA</t>
  </si>
  <si>
    <t>A - 02 Forestry and logging</t>
  </si>
  <si>
    <t>NACE_A02</t>
  </si>
  <si>
    <t>country:CC</t>
  </si>
  <si>
    <t>A - 02.1 Silviculture and other forestry activities</t>
  </si>
  <si>
    <t>NACE_A021</t>
  </si>
  <si>
    <t>country:CD</t>
  </si>
  <si>
    <t>A - 02.10 Silviculture and other forestry activities</t>
  </si>
  <si>
    <t>NACE_A0210</t>
  </si>
  <si>
    <t>country:CF</t>
  </si>
  <si>
    <t>A - 02.2 Logging</t>
  </si>
  <si>
    <t>NACE_A022</t>
  </si>
  <si>
    <t>Congo</t>
  </si>
  <si>
    <t>country:CG</t>
  </si>
  <si>
    <t>A - 02.20 Logging</t>
  </si>
  <si>
    <t>NACE_A0220</t>
  </si>
  <si>
    <t>country:CH</t>
  </si>
  <si>
    <t>A - 02.3 Gathering of wild growing non-wood products</t>
  </si>
  <si>
    <t>NACE_A023</t>
  </si>
  <si>
    <t>Côte d'Ivoire</t>
  </si>
  <si>
    <t>country:CI</t>
  </si>
  <si>
    <t>A - 02.30 Gathering of wild growing non-wood products</t>
  </si>
  <si>
    <t>NACE_A0230</t>
  </si>
  <si>
    <t>country:CK</t>
  </si>
  <si>
    <t>A - 02.4 Support services to forestry</t>
  </si>
  <si>
    <t>NACE_A024</t>
  </si>
  <si>
    <t>country:CL</t>
  </si>
  <si>
    <t>A - 02.40 Support services to forestry</t>
  </si>
  <si>
    <t>NACE_A0240</t>
  </si>
  <si>
    <t>country:CM</t>
  </si>
  <si>
    <t>A - 03 Fishing and aquaculture</t>
  </si>
  <si>
    <t>NACE_A03</t>
  </si>
  <si>
    <t>country:CN</t>
  </si>
  <si>
    <t>A - 03.1 Fishing</t>
  </si>
  <si>
    <t>NACE_A031</t>
  </si>
  <si>
    <t>country:CO</t>
  </si>
  <si>
    <t>A - 03.11 Marine fishing</t>
  </si>
  <si>
    <t>NACE_A0311</t>
  </si>
  <si>
    <t>Costa Rica</t>
  </si>
  <si>
    <t>country:CR</t>
  </si>
  <si>
    <t>A - 03.12 Freshwater fishing</t>
  </si>
  <si>
    <t>NACE_A0312</t>
  </si>
  <si>
    <t>country:CS</t>
  </si>
  <si>
    <t>A - 03.2 Aquaculture</t>
  </si>
  <si>
    <t>NACE_A032</t>
  </si>
  <si>
    <t>Cuba</t>
  </si>
  <si>
    <t>country:CU</t>
  </si>
  <si>
    <t>A - 03.21 Marine aquaculture</t>
  </si>
  <si>
    <t>NACE_A0321</t>
  </si>
  <si>
    <t>country:CV</t>
  </si>
  <si>
    <t>A - 03.22 Freshwater aquaculture</t>
  </si>
  <si>
    <t>NACE_A0322</t>
  </si>
  <si>
    <t>Curaçao</t>
  </si>
  <si>
    <t>country:CW</t>
  </si>
  <si>
    <t>A - 03.3 Support activities for fishing and aquaculture</t>
  </si>
  <si>
    <t>NACE_A033</t>
  </si>
  <si>
    <t>country:CX</t>
  </si>
  <si>
    <t>A - 03.30 Support activities for fishing and aquaculture</t>
  </si>
  <si>
    <t>NACE_A0330</t>
  </si>
  <si>
    <t>country:CY</t>
  </si>
  <si>
    <t>B - MINING AND QUARRYING</t>
  </si>
  <si>
    <t>NACE_B</t>
  </si>
  <si>
    <t>country:CZ</t>
  </si>
  <si>
    <t>B - 04 Mining of coal and lignite</t>
  </si>
  <si>
    <t>NACE_B04</t>
  </si>
  <si>
    <t>country:DE</t>
  </si>
  <si>
    <t>B - 05.1 Mining of hard coal</t>
  </si>
  <si>
    <t>NACE_B051</t>
  </si>
  <si>
    <t>Djibouti</t>
  </si>
  <si>
    <t>country:DJ</t>
  </si>
  <si>
    <t>B - 05.10 Mining of hard coal</t>
  </si>
  <si>
    <t>NACE_B0510</t>
  </si>
  <si>
    <t>country:DK</t>
  </si>
  <si>
    <t>B - 05.2 Mining of lignite</t>
  </si>
  <si>
    <t>NACE_B052</t>
  </si>
  <si>
    <t>country:DM</t>
  </si>
  <si>
    <t>B - 05.20 Mining of lignite</t>
  </si>
  <si>
    <t>NACE_B0520</t>
  </si>
  <si>
    <t>country:DO</t>
  </si>
  <si>
    <t>B - 05 Extraction of crude petroleum and natural gas</t>
  </si>
  <si>
    <t>NACE_B05</t>
  </si>
  <si>
    <t>country:DZ</t>
  </si>
  <si>
    <t>B - 06.1 Extraction of crude petroleum</t>
  </si>
  <si>
    <t>NACE_B061</t>
  </si>
  <si>
    <t>country:EC</t>
  </si>
  <si>
    <t>B - 06.10 Extraction of crude petroleum</t>
  </si>
  <si>
    <t>NACE_B0610</t>
  </si>
  <si>
    <t>country:EE</t>
  </si>
  <si>
    <t>B - 06.2 Extraction of natural gas</t>
  </si>
  <si>
    <t>NACE_B062</t>
  </si>
  <si>
    <t>country:EG</t>
  </si>
  <si>
    <t>B - 06.20 Extraction of natural gas</t>
  </si>
  <si>
    <t>NACE_B0620</t>
  </si>
  <si>
    <t>country:EH</t>
  </si>
  <si>
    <t>B - 06 Mining of metal ores</t>
  </si>
  <si>
    <t>NACE_B06</t>
  </si>
  <si>
    <t>country:ER</t>
  </si>
  <si>
    <t>B - 07.1 Mining of iron ores</t>
  </si>
  <si>
    <t>NACE_B071</t>
  </si>
  <si>
    <t>country:ES</t>
  </si>
  <si>
    <t>B - 07.10 Mining of iron ores</t>
  </si>
  <si>
    <t>NACE_B0710</t>
  </si>
  <si>
    <t>country:ET</t>
  </si>
  <si>
    <t>B - 07.2 Mining of non-ferrous metal ores</t>
  </si>
  <si>
    <t>NACE_B072</t>
  </si>
  <si>
    <t>country:FI</t>
  </si>
  <si>
    <t>B - 07.21 Mining of uranium and thorium ores</t>
  </si>
  <si>
    <t>NACE_B0721</t>
  </si>
  <si>
    <t>country:FJ</t>
  </si>
  <si>
    <t>B - 07.29 Mining of other non-ferrous metal ores</t>
  </si>
  <si>
    <t>NACE_B0729</t>
  </si>
  <si>
    <t>country:FK</t>
  </si>
  <si>
    <t>B - 07 Other mining and quarrying</t>
  </si>
  <si>
    <t>NACE_B07</t>
  </si>
  <si>
    <t>country:FM</t>
  </si>
  <si>
    <t>B - 08.1 Quarrying of stone, sand and clay</t>
  </si>
  <si>
    <t>NACE_B081</t>
  </si>
  <si>
    <t>country:FO</t>
  </si>
  <si>
    <t>B - 08.11 Quarrying of ornamental stone, limestone, gypsum, slate and other stone</t>
  </si>
  <si>
    <t>NACE_B0811</t>
  </si>
  <si>
    <t>France</t>
  </si>
  <si>
    <t>country:FR</t>
  </si>
  <si>
    <t>B - 08.12 Operation of gravel and sand pits and mining of clay and kaolin</t>
  </si>
  <si>
    <t>NACE_B0812</t>
  </si>
  <si>
    <t>Gabon</t>
  </si>
  <si>
    <t>country:GA</t>
  </si>
  <si>
    <t>B - 08.9 Mining and quarrying n.e.c.</t>
  </si>
  <si>
    <t>NACE_B089</t>
  </si>
  <si>
    <t>country:GB</t>
  </si>
  <si>
    <t>B - 08.91 Mining of chemical and fertiliser minerals</t>
  </si>
  <si>
    <t>NACE_B0891</t>
  </si>
  <si>
    <t>country:GD</t>
  </si>
  <si>
    <t>B - 08.92 Extraction of peat</t>
  </si>
  <si>
    <t>NACE_B0892</t>
  </si>
  <si>
    <t>country:GE</t>
  </si>
  <si>
    <t>B - 08.93 Extraction of salt</t>
  </si>
  <si>
    <t>NACE_B0893</t>
  </si>
  <si>
    <t>country:GF</t>
  </si>
  <si>
    <t>B - 08.99 Other mining and quarrying n.e.c.</t>
  </si>
  <si>
    <t>NACE_B0899</t>
  </si>
  <si>
    <t>country:GG</t>
  </si>
  <si>
    <t>B - 08 Mining support service activities</t>
  </si>
  <si>
    <t>NACE_B08</t>
  </si>
  <si>
    <t>Ghana</t>
  </si>
  <si>
    <t>country:GH</t>
  </si>
  <si>
    <t>B - 09.1 Support activities for petroleum and natural gas extraction</t>
  </si>
  <si>
    <t>NACE_B091</t>
  </si>
  <si>
    <t>Gibraltar</t>
  </si>
  <si>
    <t>country:GI</t>
  </si>
  <si>
    <t>B - 09.10 Support activities for petroleum and natural gas extraction</t>
  </si>
  <si>
    <t>NACE_B0910</t>
  </si>
  <si>
    <t>country:GL</t>
  </si>
  <si>
    <t>B - 09.9 Support activities for other mining and quarrying</t>
  </si>
  <si>
    <t>NACE_B099</t>
  </si>
  <si>
    <t>country:GM</t>
  </si>
  <si>
    <t>B - 09.90 Support activities for other mining and quarrying</t>
  </si>
  <si>
    <t>NACE_B0990</t>
  </si>
  <si>
    <t>country:GN</t>
  </si>
  <si>
    <t>C - MANUFACTURING</t>
  </si>
  <si>
    <t>NACE_C</t>
  </si>
  <si>
    <t>Guadeloupe</t>
  </si>
  <si>
    <t>country:GP</t>
  </si>
  <si>
    <t>C - 10 Manufacture of food products</t>
  </si>
  <si>
    <t>NACE_C10</t>
  </si>
  <si>
    <t>country:GQ</t>
  </si>
  <si>
    <t>C - 10.1 Processing and preserving of meat and production of meat products</t>
  </si>
  <si>
    <t>NACE_C101</t>
  </si>
  <si>
    <t>country:GR</t>
  </si>
  <si>
    <t>C - 10.11 Processing and preserving of meat, except of poultry meat</t>
  </si>
  <si>
    <t>NACE_C1011</t>
  </si>
  <si>
    <t>country:GS</t>
  </si>
  <si>
    <t>C - 10.12 Processing and preserving of poultry meat</t>
  </si>
  <si>
    <t>NACE_C1012</t>
  </si>
  <si>
    <t>Guatemala</t>
  </si>
  <si>
    <t>country:GT</t>
  </si>
  <si>
    <t>C - 10.13 Production of meat and poultry meat products</t>
  </si>
  <si>
    <t>NACE_C1013</t>
  </si>
  <si>
    <t>Guam</t>
  </si>
  <si>
    <t>country:GU</t>
  </si>
  <si>
    <t>C - 10.2 Processing and preserving of fish, crustaceans and molluscs</t>
  </si>
  <si>
    <t>NACE_C102</t>
  </si>
  <si>
    <t>country:GW</t>
  </si>
  <si>
    <t>C - 10.20 Processing and preserving of fish, crustaceans and molluscs</t>
  </si>
  <si>
    <t>NACE_C1020</t>
  </si>
  <si>
    <t>country:GY</t>
  </si>
  <si>
    <t>C - 10.3 Processing and preserving of fruit and vegetables</t>
  </si>
  <si>
    <t>NACE_C103</t>
  </si>
  <si>
    <t>Hong Kong</t>
  </si>
  <si>
    <t>country:HK</t>
  </si>
  <si>
    <t>C - 10.31 Processing and preserving of potatoes</t>
  </si>
  <si>
    <t>NACE_C1031</t>
  </si>
  <si>
    <t>country:HM</t>
  </si>
  <si>
    <t>C - 10.32 Manufacture of fruit and vegetable juice</t>
  </si>
  <si>
    <t>NACE_C1032</t>
  </si>
  <si>
    <t>Honduras</t>
  </si>
  <si>
    <t>country:HN</t>
  </si>
  <si>
    <t>C - 10.39 Other processing and preserving of fruit and vegetables</t>
  </si>
  <si>
    <t>NACE_C1039</t>
  </si>
  <si>
    <t>country:HR</t>
  </si>
  <si>
    <t>C - 10.4 Manufacture of vegetable and animal oils and fats</t>
  </si>
  <si>
    <t>NACE_C104</t>
  </si>
  <si>
    <t>country:HT</t>
  </si>
  <si>
    <t>C - 10.41 Manufacture of oils and fats</t>
  </si>
  <si>
    <t>NACE_C1041</t>
  </si>
  <si>
    <t>country:HU</t>
  </si>
  <si>
    <t>C - 10.42 Manufacture of margarine and similar edible fats</t>
  </si>
  <si>
    <t>NACE_C1042</t>
  </si>
  <si>
    <t>country:ID</t>
  </si>
  <si>
    <t>C - 10.5 Manufacture of dairy products and edible ice</t>
  </si>
  <si>
    <t>NACE_C105</t>
  </si>
  <si>
    <t>country:IE</t>
  </si>
  <si>
    <t>C - 10.51 Manufacture of dairy products</t>
  </si>
  <si>
    <t>NACE_C1051</t>
  </si>
  <si>
    <t>country:IL</t>
  </si>
  <si>
    <t>C - 10.52 Manufacture of ice cream and other edible ice</t>
  </si>
  <si>
    <t>NACE_C1052</t>
  </si>
  <si>
    <t>country:IM</t>
  </si>
  <si>
    <t>C - 10.6 Manufacture of grain mill products, starches and starch products</t>
  </si>
  <si>
    <t>NACE_C106</t>
  </si>
  <si>
    <t>country:IN</t>
  </si>
  <si>
    <t>C - 10.61 Manufacture of grain mill products</t>
  </si>
  <si>
    <t>NACE_C1061</t>
  </si>
  <si>
    <t>country:IO</t>
  </si>
  <si>
    <t>C - 10.62 Manufacture of starches and starch products</t>
  </si>
  <si>
    <t>NACE_C1062</t>
  </si>
  <si>
    <t>country:IQ</t>
  </si>
  <si>
    <t>C - 10.7 Manufacture of bakery and farinaceous products</t>
  </si>
  <si>
    <t>NACE_C107</t>
  </si>
  <si>
    <t>country:IR</t>
  </si>
  <si>
    <t>C - 10.71 Manufacture of bread; manufacture of fresh pastry goods and cakes</t>
  </si>
  <si>
    <t>NACE_C1071</t>
  </si>
  <si>
    <t>country:IS</t>
  </si>
  <si>
    <t>C - 10.72 Manufacture of rusks, biscuits, preserved pastries and cakes</t>
  </si>
  <si>
    <t>NACE_C1072</t>
  </si>
  <si>
    <t>country:IT</t>
  </si>
  <si>
    <t>C - 10.73 Manufacture of farinaceous products</t>
  </si>
  <si>
    <t>NACE_C1073</t>
  </si>
  <si>
    <t>Jersey</t>
  </si>
  <si>
    <t>country:JE</t>
  </si>
  <si>
    <t>C - 10.8 Manufacture of other food products</t>
  </si>
  <si>
    <t>NACE_C108</t>
  </si>
  <si>
    <t>country:JM</t>
  </si>
  <si>
    <t>C - 10.81 Manufacture of sugar</t>
  </si>
  <si>
    <t>NACE_C1081</t>
  </si>
  <si>
    <t>country:JO</t>
  </si>
  <si>
    <t>C - 10.82 Manufacture of cocoa, chocolate and sugar confectionery</t>
  </si>
  <si>
    <t>NACE_C1082</t>
  </si>
  <si>
    <t>country:JP</t>
  </si>
  <si>
    <t>C - 10.83 Processing of tea and coffee</t>
  </si>
  <si>
    <t>NACE_C1083</t>
  </si>
  <si>
    <t>Kenya</t>
  </si>
  <si>
    <t>country:KE</t>
  </si>
  <si>
    <t>C - 10.84 Manufacture of condiments and seasonings</t>
  </si>
  <si>
    <t>NACE_C1084</t>
  </si>
  <si>
    <t>country:KG</t>
  </si>
  <si>
    <t>C - 10.85 Manufacture of prepared meals and dishes</t>
  </si>
  <si>
    <t>NACE_C1085</t>
  </si>
  <si>
    <t>country:KH</t>
  </si>
  <si>
    <t>C - 10.86 Manufacture of homogenised food preparations and dietetic food</t>
  </si>
  <si>
    <t>NACE_C1086</t>
  </si>
  <si>
    <t>Kiribati</t>
  </si>
  <si>
    <t>country:KI</t>
  </si>
  <si>
    <t>C - 10.89 Manufacture of other food products n.e.c.</t>
  </si>
  <si>
    <t>NACE_C1089</t>
  </si>
  <si>
    <t>country:KM</t>
  </si>
  <si>
    <t>C - 10.9 Manufacture of prepared animal feeds</t>
  </si>
  <si>
    <t>NACE_C109</t>
  </si>
  <si>
    <t>country:KN</t>
  </si>
  <si>
    <t>C - 10.91 Manufacture of prepared feeds for farm animals</t>
  </si>
  <si>
    <t>NACE_C1091</t>
  </si>
  <si>
    <t>country:KP</t>
  </si>
  <si>
    <t>C - 10.92 Manufacture of prepared pet foods</t>
  </si>
  <si>
    <t>NACE_C1092</t>
  </si>
  <si>
    <t>country:KR</t>
  </si>
  <si>
    <t>C - 11 Manufacture of beverages</t>
  </si>
  <si>
    <t>NACE_C11</t>
  </si>
  <si>
    <t>country:KW</t>
  </si>
  <si>
    <t>C - 11.0 Manufacture of beverages</t>
  </si>
  <si>
    <t>NACE_C110</t>
  </si>
  <si>
    <t>country:KY</t>
  </si>
  <si>
    <t>C - 11.01 Distilling, rectifying and blending of spirits</t>
  </si>
  <si>
    <t>NACE_C1101</t>
  </si>
  <si>
    <t>Kazakhstan</t>
  </si>
  <si>
    <t>country:KZ</t>
  </si>
  <si>
    <t>C - 11.02 Manufacture of wine from grape</t>
  </si>
  <si>
    <t>NACE_C1102</t>
  </si>
  <si>
    <t>country:LA</t>
  </si>
  <si>
    <t>C - 11.03 Manufacture of cider and other fermented fruit beverages</t>
  </si>
  <si>
    <t>NACE_C1103</t>
  </si>
  <si>
    <t>country:LB</t>
  </si>
  <si>
    <t>C - 11.04 Manufacture of other non-distilled fermented beverages</t>
  </si>
  <si>
    <t>NACE_C1104</t>
  </si>
  <si>
    <t>country:LC</t>
  </si>
  <si>
    <t>C - 11.05 Manufacture of beer</t>
  </si>
  <si>
    <t>NACE_C1105</t>
  </si>
  <si>
    <t>Liechtenstein</t>
  </si>
  <si>
    <t>country:LI</t>
  </si>
  <si>
    <t>C - 11.06 Manufacture of malt</t>
  </si>
  <si>
    <t>NACE_C1106</t>
  </si>
  <si>
    <t>Sri Lanka</t>
  </si>
  <si>
    <t>country:LK</t>
  </si>
  <si>
    <t>C - 11.07 Manufacture of soft drinks and bottled waters</t>
  </si>
  <si>
    <t>NACE_C1107</t>
  </si>
  <si>
    <t>country:LR</t>
  </si>
  <si>
    <t>C - 12 Manufacture of tobacco products</t>
  </si>
  <si>
    <t>NACE_C12</t>
  </si>
  <si>
    <t>Lesotho</t>
  </si>
  <si>
    <t>country:LS</t>
  </si>
  <si>
    <t>C - 12.0 Manufacture of tobacco products</t>
  </si>
  <si>
    <t>NACE_C120</t>
  </si>
  <si>
    <t>country:LT</t>
  </si>
  <si>
    <t>C - 12.00 Manufacture of tobacco products</t>
  </si>
  <si>
    <t>NACE_C1200</t>
  </si>
  <si>
    <t>Luxembourg</t>
  </si>
  <si>
    <t>country:LU</t>
  </si>
  <si>
    <t>C - 13 Manufacture of textiles</t>
  </si>
  <si>
    <t>NACE_C13</t>
  </si>
  <si>
    <t>country:LV</t>
  </si>
  <si>
    <t>C - 13.1 Preparation and spinning of textile fibres</t>
  </si>
  <si>
    <t>NACE_C131</t>
  </si>
  <si>
    <t>country:LY</t>
  </si>
  <si>
    <t>C - 13.10 Preparation and spinning of textile fibres</t>
  </si>
  <si>
    <t>NACE_C1310</t>
  </si>
  <si>
    <t>country:MA</t>
  </si>
  <si>
    <t>C - 13.2 Weaving of textiles</t>
  </si>
  <si>
    <t>NACE_C132</t>
  </si>
  <si>
    <t>Monaco</t>
  </si>
  <si>
    <t>country:MC</t>
  </si>
  <si>
    <t>C - 13.20 Weaving of textiles</t>
  </si>
  <si>
    <t>NACE_C1320</t>
  </si>
  <si>
    <t>country:MD</t>
  </si>
  <si>
    <t>C - 13.3 Finishing of textiles</t>
  </si>
  <si>
    <t>NACE_C133</t>
  </si>
  <si>
    <t>country:ME</t>
  </si>
  <si>
    <t>C - 13.30 Finishing of textiles</t>
  </si>
  <si>
    <t>NACE_C1330</t>
  </si>
  <si>
    <t>country:MF</t>
  </si>
  <si>
    <t>C - 13.9 Manufacture of other textiles</t>
  </si>
  <si>
    <t>NACE_C139</t>
  </si>
  <si>
    <t>Madagascar</t>
  </si>
  <si>
    <t>country:MG</t>
  </si>
  <si>
    <t>C - 13.91 Manufacture of knitted and crocheted fabrics</t>
  </si>
  <si>
    <t>NACE_C1391</t>
  </si>
  <si>
    <t>country:MH</t>
  </si>
  <si>
    <t>C - 13.92 Manufacture of household textiles and made-up furnishing articles</t>
  </si>
  <si>
    <t>NACE_C1392</t>
  </si>
  <si>
    <t>country:MK</t>
  </si>
  <si>
    <t>C - 13.93 Manufacture of carpets and rugs</t>
  </si>
  <si>
    <t>NACE_C1393</t>
  </si>
  <si>
    <t>Mali</t>
  </si>
  <si>
    <t>country:ML</t>
  </si>
  <si>
    <t>C - 13.94 Manufacture of cordage, rope, twine and netting</t>
  </si>
  <si>
    <t>NACE_C1394</t>
  </si>
  <si>
    <t>Myanmar</t>
  </si>
  <si>
    <t>country:MM</t>
  </si>
  <si>
    <t>C - 13.95 Manufacture of non-wovens and non-woven articles</t>
  </si>
  <si>
    <t>NACE_C1395</t>
  </si>
  <si>
    <t>country:MN</t>
  </si>
  <si>
    <t>C - 13.96 Manufacture of other technical and industrial textiles</t>
  </si>
  <si>
    <t>NACE_C1396</t>
  </si>
  <si>
    <t>Macao</t>
  </si>
  <si>
    <t>country:MO</t>
  </si>
  <si>
    <t>C - 13.99 Manufacture of other textiles n.e.c.</t>
  </si>
  <si>
    <t>NACE_C1399</t>
  </si>
  <si>
    <t>country:MP</t>
  </si>
  <si>
    <t>C - 14 Manufacture of wearing apparel</t>
  </si>
  <si>
    <t>NACE_C14</t>
  </si>
  <si>
    <t>Martinique</t>
  </si>
  <si>
    <t>country:MQ</t>
  </si>
  <si>
    <t>C - 14.1 Manufacture of knitted and crocheted apparel</t>
  </si>
  <si>
    <t>NACE_C141</t>
  </si>
  <si>
    <t>country:MR</t>
  </si>
  <si>
    <t>C - 14.10 Manufacture of knitted and crocheted apparel</t>
  </si>
  <si>
    <t>NACE_C1410</t>
  </si>
  <si>
    <t>Montserrat</t>
  </si>
  <si>
    <t>country:MS</t>
  </si>
  <si>
    <t>C - 14.2 Manufacture of other wearing apparel and accessories</t>
  </si>
  <si>
    <t>NACE_C142</t>
  </si>
  <si>
    <t>country:MT</t>
  </si>
  <si>
    <t>C - 14.21 Manufacture of outerwear</t>
  </si>
  <si>
    <t>NACE_C1421</t>
  </si>
  <si>
    <t>country:MU</t>
  </si>
  <si>
    <t>C - 14.22 Manufacture of underwear</t>
  </si>
  <si>
    <t>NACE_C1422</t>
  </si>
  <si>
    <t>Maldives</t>
  </si>
  <si>
    <t>country:MV</t>
  </si>
  <si>
    <t>C - 14.23 Manufacture of workwear</t>
  </si>
  <si>
    <t>NACE_C1423</t>
  </si>
  <si>
    <t>Malawi</t>
  </si>
  <si>
    <t>country:MW</t>
  </si>
  <si>
    <t>C - 14.24 Manufacture of leather clothes and fur apparel</t>
  </si>
  <si>
    <t>NACE_C1424</t>
  </si>
  <si>
    <t>country:MX</t>
  </si>
  <si>
    <t>C - 14.29 Manufacture of other wearing apparel and accessories n.e.c.</t>
  </si>
  <si>
    <t>NACE_C1429</t>
  </si>
  <si>
    <t>country:MY</t>
  </si>
  <si>
    <t>C - 15 Manufacture of leather and related products of other materials</t>
  </si>
  <si>
    <t>NACE_C15</t>
  </si>
  <si>
    <t>Mozambique</t>
  </si>
  <si>
    <t>country:MZ</t>
  </si>
  <si>
    <t>C - 15.1 Tanning, dyeing, dressing of leather and fur; manufacture of luggage, handbags, saddlery and harness</t>
  </si>
  <si>
    <t>NACE_C151</t>
  </si>
  <si>
    <t>country:NA</t>
  </si>
  <si>
    <t>C - 15.11 Tanning, dressing, dyeing of leather and fur</t>
  </si>
  <si>
    <t>NACE_C1511</t>
  </si>
  <si>
    <t>country:NC</t>
  </si>
  <si>
    <t>C - 15.12 Manufacture of luggage, handbags, saddlery and harness of any material</t>
  </si>
  <si>
    <t>NACE_C1512</t>
  </si>
  <si>
    <t>Niger</t>
  </si>
  <si>
    <t>country:NE</t>
  </si>
  <si>
    <t>C - 15.2 Manufacture of footwear</t>
  </si>
  <si>
    <t>NACE_C152</t>
  </si>
  <si>
    <t>country:NF</t>
  </si>
  <si>
    <t>C - 15.20 Manufacture of footwear</t>
  </si>
  <si>
    <t>NACE_C1520</t>
  </si>
  <si>
    <t>Nigeria</t>
  </si>
  <si>
    <t>country:NG</t>
  </si>
  <si>
    <t>C - 16 Manufacture of wood and of products of wood and cork, except furniture; manufacture of articles of straw and plaiting materials</t>
  </si>
  <si>
    <t>NACE_C16</t>
  </si>
  <si>
    <t>Nicaragua</t>
  </si>
  <si>
    <t>country:NI</t>
  </si>
  <si>
    <t>C - 16.1 Sawmilling and planing of wood; processing and finishing of wood</t>
  </si>
  <si>
    <t>NACE_C161</t>
  </si>
  <si>
    <t>country:NL</t>
  </si>
  <si>
    <t>C - 16.11 Sawmilling and planing of wood</t>
  </si>
  <si>
    <t>NACE_C1611</t>
  </si>
  <si>
    <t>country:NO</t>
  </si>
  <si>
    <t>C - 16.12 Processing and finishing of wood</t>
  </si>
  <si>
    <t>NACE_C1612</t>
  </si>
  <si>
    <t>country:NP</t>
  </si>
  <si>
    <t>C - 16.2 Manufacture of products of wood, cork, straw and plaiting materials</t>
  </si>
  <si>
    <t>NACE_C162</t>
  </si>
  <si>
    <t>Nauru</t>
  </si>
  <si>
    <t>country:NR</t>
  </si>
  <si>
    <t>C - 16.21 Manufacture of veneer sheets and wood-based panels</t>
  </si>
  <si>
    <t>NACE_C1621</t>
  </si>
  <si>
    <t>country:NT</t>
  </si>
  <si>
    <t>C - 16.22 Manufacture of assembled parquet floors</t>
  </si>
  <si>
    <t>NACE_C1622</t>
  </si>
  <si>
    <t>country:NU</t>
  </si>
  <si>
    <t>C - 16.23 Manufacture of other builders’ carpentry and joinery</t>
  </si>
  <si>
    <t>NACE_C1623</t>
  </si>
  <si>
    <t>country:NZ</t>
  </si>
  <si>
    <t>C - 16.24 Manufacture of wooden containers</t>
  </si>
  <si>
    <t>NACE_C1624</t>
  </si>
  <si>
    <t>Oman</t>
  </si>
  <si>
    <t>country:OM</t>
  </si>
  <si>
    <t>C - 16.25 Manufacture of doors and windows of wood</t>
  </si>
  <si>
    <t>NACE_C1625</t>
  </si>
  <si>
    <t>Panama</t>
  </si>
  <si>
    <t>country:PA</t>
  </si>
  <si>
    <t>C - 16.26 Manufacture of solid fuels from vegetable biomass</t>
  </si>
  <si>
    <t>NACE_C1626</t>
  </si>
  <si>
    <t>country:PE</t>
  </si>
  <si>
    <t>C - 16.27 Finishing of wooden products</t>
  </si>
  <si>
    <t>NACE_C1627</t>
  </si>
  <si>
    <t>country:PF</t>
  </si>
  <si>
    <t>C - 16.28 Manufacture of other products of wood and articles of cork, straw and plaiting materials</t>
  </si>
  <si>
    <t>NACE_C1628</t>
  </si>
  <si>
    <t>country:PG</t>
  </si>
  <si>
    <t>C - 17 Manufacture of paper and paper products</t>
  </si>
  <si>
    <t>NACE_C17</t>
  </si>
  <si>
    <t>Philippines</t>
  </si>
  <si>
    <t>country:PH</t>
  </si>
  <si>
    <t>C - 17.1 Manufacture of pulp, paper and paperboard</t>
  </si>
  <si>
    <t>NACE_C171</t>
  </si>
  <si>
    <t>Pakistan</t>
  </si>
  <si>
    <t>country:PK</t>
  </si>
  <si>
    <t>C - 17.11 Manufacture of pulp</t>
  </si>
  <si>
    <t>NACE_C1711</t>
  </si>
  <si>
    <t>country:PL</t>
  </si>
  <si>
    <t>C - 17.12 Manufacture of paper and paperboard</t>
  </si>
  <si>
    <t>NACE_C1712</t>
  </si>
  <si>
    <t>country:PM</t>
  </si>
  <si>
    <t>C - 17.2 Manufacture of articles of paper and paperboard</t>
  </si>
  <si>
    <t>NACE_C172</t>
  </si>
  <si>
    <t>Pitcairn</t>
  </si>
  <si>
    <t>country:PN</t>
  </si>
  <si>
    <t>C - 17.21 Manufacture of corrugated paper, paperboard and containers of paper and paperboard</t>
  </si>
  <si>
    <t>NACE_C1721</t>
  </si>
  <si>
    <t>country:PR</t>
  </si>
  <si>
    <t>C - 17.22 Manufacture of household and sanitary goods and of toilet requisites</t>
  </si>
  <si>
    <t>NACE_C1722</t>
  </si>
  <si>
    <t>country:PS</t>
  </si>
  <si>
    <t>C - 17.23 Manufacture of paper stationery</t>
  </si>
  <si>
    <t>NACE_C1723</t>
  </si>
  <si>
    <t>Portugal</t>
  </si>
  <si>
    <t>country:PT</t>
  </si>
  <si>
    <t>C - 17.24 Manufacture of wallpaper</t>
  </si>
  <si>
    <t>NACE_C1724</t>
  </si>
  <si>
    <t>country:PW</t>
  </si>
  <si>
    <t>C - 17.25 Manufacture of other articles of paper and paperboard</t>
  </si>
  <si>
    <t>NACE_C1725</t>
  </si>
  <si>
    <t>Paraguay</t>
  </si>
  <si>
    <t>country:PY</t>
  </si>
  <si>
    <t>C - 18 Printing and reproduction of recorded media</t>
  </si>
  <si>
    <t>NACE_C18</t>
  </si>
  <si>
    <t>Qatar</t>
  </si>
  <si>
    <t>country:QA</t>
  </si>
  <si>
    <t>C - 18.1 Printing and service activities related to printing</t>
  </si>
  <si>
    <t>NACE_C181</t>
  </si>
  <si>
    <t>Réunion</t>
  </si>
  <si>
    <t>country:RE</t>
  </si>
  <si>
    <t>C - 18.11 Printing of newspapers</t>
  </si>
  <si>
    <t>NACE_C1811</t>
  </si>
  <si>
    <t>country:RO</t>
  </si>
  <si>
    <t>C - 18.12 Other printing</t>
  </si>
  <si>
    <t>NACE_C1812</t>
  </si>
  <si>
    <t>country:RS</t>
  </si>
  <si>
    <t>C - 18.13 Pre-press and pre-media services</t>
  </si>
  <si>
    <t>NACE_C1813</t>
  </si>
  <si>
    <t>country:RU</t>
  </si>
  <si>
    <t>C - 18.14 Binding and related services</t>
  </si>
  <si>
    <t>NACE_C1814</t>
  </si>
  <si>
    <t>Rwanda</t>
  </si>
  <si>
    <t>country:RW</t>
  </si>
  <si>
    <t>C - 18.2 Reproduction of recorded media</t>
  </si>
  <si>
    <t>NACE_C182</t>
  </si>
  <si>
    <t>country:SA</t>
  </si>
  <si>
    <t>C - 18.20 Reproduction of recorded media</t>
  </si>
  <si>
    <t>NACE_C1820</t>
  </si>
  <si>
    <t>country:SB</t>
  </si>
  <si>
    <t>C - 19 Manufacture of coke and refined petroleum products</t>
  </si>
  <si>
    <t>NACE_C19</t>
  </si>
  <si>
    <t>Seychelles</t>
  </si>
  <si>
    <t>country:SC</t>
  </si>
  <si>
    <t>C - 19.1 Manufacture of coke oven products</t>
  </si>
  <si>
    <t>NACE_C191</t>
  </si>
  <si>
    <t>country:SD</t>
  </si>
  <si>
    <t>C - 19.10 Manufacture of coke oven products</t>
  </si>
  <si>
    <t>NACE_C1910</t>
  </si>
  <si>
    <t>country:SE</t>
  </si>
  <si>
    <t>C - 19.2 Manufacture of refined petroleum products and fossil fuel products</t>
  </si>
  <si>
    <t>NACE_C192</t>
  </si>
  <si>
    <t>country:SG</t>
  </si>
  <si>
    <t>C - 19.20 Manufacture of refined petroleum products and fossil fuel products</t>
  </si>
  <si>
    <t>NACE_C1920</t>
  </si>
  <si>
    <t>country:SH</t>
  </si>
  <si>
    <t>C - 20 Manufacture of chemicals and chemical products</t>
  </si>
  <si>
    <t>NACE_C20</t>
  </si>
  <si>
    <t>country:SI</t>
  </si>
  <si>
    <t>C - 20.1 Manufacture of basic chemicals, fertilisers and nitrogen compounds, plastics and synthetic rubber in primary forms</t>
  </si>
  <si>
    <t>NACE_C201</t>
  </si>
  <si>
    <t>country:SJ</t>
  </si>
  <si>
    <t>C - 20.11 Manufacture of industrial gases</t>
  </si>
  <si>
    <t>NACE_C2011</t>
  </si>
  <si>
    <t>country:SK</t>
  </si>
  <si>
    <t>C - 20.12 Manufacture of dyes and pigments</t>
  </si>
  <si>
    <t>NACE_C2012</t>
  </si>
  <si>
    <t>Sierra Leone</t>
  </si>
  <si>
    <t>country:SL</t>
  </si>
  <si>
    <t>C - 20.13 Manufacture of other inorganic basic chemicals</t>
  </si>
  <si>
    <t>NACE_C2013</t>
  </si>
  <si>
    <t>country:SM</t>
  </si>
  <si>
    <t>C - 20.14 Manufacture of other organic basic chemicals</t>
  </si>
  <si>
    <t>NACE_C2014</t>
  </si>
  <si>
    <t>country:SN</t>
  </si>
  <si>
    <t>C - 20.15 Manufacture of fertilisers and nitrogen compounds</t>
  </si>
  <si>
    <t>NACE_C2015</t>
  </si>
  <si>
    <t>country:SO</t>
  </si>
  <si>
    <t>C - 20.16 Manufacture of plastics in primary forms</t>
  </si>
  <si>
    <t>NACE_C2016</t>
  </si>
  <si>
    <t>Suriname</t>
  </si>
  <si>
    <t>country:SR</t>
  </si>
  <si>
    <t>C - 20.17 Manufacture of synthetic rubber in primary forms</t>
  </si>
  <si>
    <t>NACE_C2017</t>
  </si>
  <si>
    <t>country:SS</t>
  </si>
  <si>
    <t>C - 20.2 Manufacture of pesticides, disinfectants and other agrochemical products</t>
  </si>
  <si>
    <t>NACE_C202</t>
  </si>
  <si>
    <t>country:ST</t>
  </si>
  <si>
    <t>C - 20.20 Manufacture of pesticides, disinfectants and other agrochemical products</t>
  </si>
  <si>
    <t>NACE_C2020</t>
  </si>
  <si>
    <t>El Salvador</t>
  </si>
  <si>
    <t>country:SV</t>
  </si>
  <si>
    <t>C - 20.3 Manufacture of paints, varnishes and similar coatings, printing ink and mastics</t>
  </si>
  <si>
    <t>NACE_C203</t>
  </si>
  <si>
    <t>country:SX</t>
  </si>
  <si>
    <t>C - 20.30 Manufacture of paints, varnishes and similar coatings, printing ink and mastics</t>
  </si>
  <si>
    <t>NACE_C2030</t>
  </si>
  <si>
    <t>country:SY</t>
  </si>
  <si>
    <t>C - 20.4 Manufacture of washing, cleaning and polishing preparations</t>
  </si>
  <si>
    <t>NACE_C204</t>
  </si>
  <si>
    <t>Eswatini</t>
  </si>
  <si>
    <t>country:SZ</t>
  </si>
  <si>
    <t>C - 20.41 Manufacture of soap and detergents, cleaning and polishing preparations</t>
  </si>
  <si>
    <t>NACE_C2041</t>
  </si>
  <si>
    <t>country:TC</t>
  </si>
  <si>
    <t>C - 20.42 Manufacture of perfume and toilet preparations</t>
  </si>
  <si>
    <t>NACE_C2042</t>
  </si>
  <si>
    <t>country:TD</t>
  </si>
  <si>
    <t>C - 20.5 Manufacture of other chemical products</t>
  </si>
  <si>
    <t>NACE_C205</t>
  </si>
  <si>
    <t>country:TF</t>
  </si>
  <si>
    <t>C - 20.51 Manufacture of liquid biofuels</t>
  </si>
  <si>
    <t>NACE_C2051</t>
  </si>
  <si>
    <t>Togo</t>
  </si>
  <si>
    <t>country:TG</t>
  </si>
  <si>
    <t>C - 20.59 Manufacture of other chemical products n.e.c.</t>
  </si>
  <si>
    <t>NACE_C2059</t>
  </si>
  <si>
    <t>country:TH</t>
  </si>
  <si>
    <t>C - 20.6 Manufacture of man-made fibres</t>
  </si>
  <si>
    <t>NACE_C206</t>
  </si>
  <si>
    <t>country:TJ</t>
  </si>
  <si>
    <t>C - 20.60 Manufacture of man-made fibres</t>
  </si>
  <si>
    <t>NACE_C2060</t>
  </si>
  <si>
    <t>Tokelau</t>
  </si>
  <si>
    <t>country:TK</t>
  </si>
  <si>
    <t>C - 21 Manufacture of basic pharmaceutical products and pharmaceutical preparations</t>
  </si>
  <si>
    <t>NACE_C21</t>
  </si>
  <si>
    <t>country:TL</t>
  </si>
  <si>
    <t>C - 21.1 Manufacture of basic pharmaceutical products</t>
  </si>
  <si>
    <t>NACE_C211</t>
  </si>
  <si>
    <t>country:TM</t>
  </si>
  <si>
    <t>C - 21.10 Manufacture of basic pharmaceutical products</t>
  </si>
  <si>
    <t>NACE_C2110</t>
  </si>
  <si>
    <t>country:TN</t>
  </si>
  <si>
    <t>C - 21.2 Manufacture of pharmaceutical preparations</t>
  </si>
  <si>
    <t>NACE_C212</t>
  </si>
  <si>
    <t>Tonga</t>
  </si>
  <si>
    <t>country:TO</t>
  </si>
  <si>
    <t>C - 21.20 Manufacture of pharmaceutical preparations</t>
  </si>
  <si>
    <t>NACE_C2120</t>
  </si>
  <si>
    <t>country:TP</t>
  </si>
  <si>
    <t>C - 22 Manufacture of rubber and plastic products</t>
  </si>
  <si>
    <t>NACE_C22</t>
  </si>
  <si>
    <t>country:TR</t>
  </si>
  <si>
    <t>C - 22.1 Manufacture of rubber products</t>
  </si>
  <si>
    <t>NACE_C221</t>
  </si>
  <si>
    <t>country:TT</t>
  </si>
  <si>
    <t>C - 22.11 Manufacture, retreading and rebuilding of rubber tyres and manufacture of tubes</t>
  </si>
  <si>
    <t>NACE_C2211</t>
  </si>
  <si>
    <t>Tuvalu</t>
  </si>
  <si>
    <t>country:TV</t>
  </si>
  <si>
    <t>C - 22.12 Manufacture of other rubber products</t>
  </si>
  <si>
    <t>NACE_C2212</t>
  </si>
  <si>
    <t>country:TW</t>
  </si>
  <si>
    <t>C - 22.2 Manufacture of plastic products</t>
  </si>
  <si>
    <t>NACE_C222</t>
  </si>
  <si>
    <t>country:TZ</t>
  </si>
  <si>
    <t>C - 22.21 Manufacture of plastic plates, sheets, tubes and profiles</t>
  </si>
  <si>
    <t>NACE_C2221</t>
  </si>
  <si>
    <t>Ukraine</t>
  </si>
  <si>
    <t>country:UA</t>
  </si>
  <si>
    <t>C - 22.22 Manufacture of plastic packing goods</t>
  </si>
  <si>
    <t>NACE_C2222</t>
  </si>
  <si>
    <t>country:UG</t>
  </si>
  <si>
    <t>C - 22.23 Manufacture of doors and windows of plastic</t>
  </si>
  <si>
    <t>NACE_C2223</t>
  </si>
  <si>
    <t>country:UM</t>
  </si>
  <si>
    <t>C - 22.24 Manufacture of builders’ ware of plastic</t>
  </si>
  <si>
    <t>NACE_C2224</t>
  </si>
  <si>
    <t>country:US</t>
  </si>
  <si>
    <t>C - 22.25 Processing and finishing of plastic products</t>
  </si>
  <si>
    <t>NACE_C2225</t>
  </si>
  <si>
    <t>Uruguay</t>
  </si>
  <si>
    <t>country:UY</t>
  </si>
  <si>
    <t>C - 22.26 Manufacture of other plastic products</t>
  </si>
  <si>
    <t>NACE_C2226</t>
  </si>
  <si>
    <t>country:UZ</t>
  </si>
  <si>
    <t>C - 23 Manufacture of other non-metallic mineral products</t>
  </si>
  <si>
    <t>NACE_C23</t>
  </si>
  <si>
    <t>country:VA</t>
  </si>
  <si>
    <t>C - 23.1 Manufacture of glass and glass products</t>
  </si>
  <si>
    <t>NACE_C231</t>
  </si>
  <si>
    <t>country:VC</t>
  </si>
  <si>
    <t>C - 23.11 Manufacture of flat glass</t>
  </si>
  <si>
    <t>NACE_C2311</t>
  </si>
  <si>
    <t>country:VE</t>
  </si>
  <si>
    <t>C - 23.12 Shaping and processing of flat glass</t>
  </si>
  <si>
    <t>NACE_C2312</t>
  </si>
  <si>
    <t>country:VG</t>
  </si>
  <si>
    <t>C - 23.13 Manufacture of hollow glass</t>
  </si>
  <si>
    <t>NACE_C2313</t>
  </si>
  <si>
    <t>country:VI</t>
  </si>
  <si>
    <t>C - 23.14 Manufacture of glass fibres</t>
  </si>
  <si>
    <t>NACE_C2314</t>
  </si>
  <si>
    <t>country:VN</t>
  </si>
  <si>
    <t>C - 23.15 Manufacture and processing of other glass, including technical glassware</t>
  </si>
  <si>
    <t>NACE_C2315</t>
  </si>
  <si>
    <t>Vanuatu</t>
  </si>
  <si>
    <t>country:VU</t>
  </si>
  <si>
    <t>C - 23.2 Manufacture of refractory products</t>
  </si>
  <si>
    <t>NACE_C232</t>
  </si>
  <si>
    <t>country:WF</t>
  </si>
  <si>
    <t>C - 23.20 Manufacture of refractory products</t>
  </si>
  <si>
    <t>NACE_C2320</t>
  </si>
  <si>
    <t>Samoa</t>
  </si>
  <si>
    <t>country:WS</t>
  </si>
  <si>
    <t>C - 23.3 Manufacture of clay building materials</t>
  </si>
  <si>
    <t>NACE_C233</t>
  </si>
  <si>
    <t>Yemen</t>
  </si>
  <si>
    <t>country:YE</t>
  </si>
  <si>
    <t>C - 23.31 Manufacture of ceramic tiles and flags</t>
  </si>
  <si>
    <t>NACE_C2331</t>
  </si>
  <si>
    <t>Mayotte</t>
  </si>
  <si>
    <t>country:YT</t>
  </si>
  <si>
    <t>C - 23.32 Manufacture of bricks, tiles and construction products, in baked clay</t>
  </si>
  <si>
    <t>NACE_C2332</t>
  </si>
  <si>
    <t>country:YU</t>
  </si>
  <si>
    <t>C - 23.4 Manufacture of other porcelain and ceramic products</t>
  </si>
  <si>
    <t>NACE_C234</t>
  </si>
  <si>
    <t>country:ZA</t>
  </si>
  <si>
    <t>C - 23.41 Manufacture of ceramic household and ornamental articles</t>
  </si>
  <si>
    <t>NACE_C2341</t>
  </si>
  <si>
    <t>country:ZM</t>
  </si>
  <si>
    <t>C - 23.42 Manufacture of ceramic sanitary fixtures</t>
  </si>
  <si>
    <t>NACE_C2342</t>
  </si>
  <si>
    <t>country:ZR</t>
  </si>
  <si>
    <t>C - 23.43 Manufacture of ceramic insulators and insulating fittings</t>
  </si>
  <si>
    <t>NACE_C2343</t>
  </si>
  <si>
    <t>Zimbabwe</t>
  </si>
  <si>
    <t>country:ZW</t>
  </si>
  <si>
    <t>C - 23.44 Manufacture of other technical ceramic products</t>
  </si>
  <si>
    <t>NACE_C2344</t>
  </si>
  <si>
    <t>C - 23.45 Manufacture of other ceramic products</t>
  </si>
  <si>
    <t>NACE_C2345</t>
  </si>
  <si>
    <t>C - 23.5 Manufacture of cement, lime and plaster</t>
  </si>
  <si>
    <t>NACE_C235</t>
  </si>
  <si>
    <t>C - 23.51 Manufacture of cement</t>
  </si>
  <si>
    <t>NACE_C2351</t>
  </si>
  <si>
    <t>C - 23.52 Manufacture of lime and plaster</t>
  </si>
  <si>
    <t>NACE_C2352</t>
  </si>
  <si>
    <t>C - 23.6 Manufacture of articles of concrete, cement and plaster</t>
  </si>
  <si>
    <t>NACE_C236</t>
  </si>
  <si>
    <t>C - 23.61 Manufacture of concrete products for construction purposes</t>
  </si>
  <si>
    <t>NACE_C2361</t>
  </si>
  <si>
    <t>C - 23.62 Manufacture of plaster products for construction purposes</t>
  </si>
  <si>
    <t>NACE_C2362</t>
  </si>
  <si>
    <t>C - 23.63 Manufacture of ready-mixed concrete</t>
  </si>
  <si>
    <t>NACE_C2363</t>
  </si>
  <si>
    <t>C - 23.64 Manufacture of mortars</t>
  </si>
  <si>
    <t>NACE_C2364</t>
  </si>
  <si>
    <t>C - 23.65 Manufacture of fibre cement</t>
  </si>
  <si>
    <t>NACE_C2365</t>
  </si>
  <si>
    <t>C - 23.66 Manufacture of other articles of concrete, cement and plaster</t>
  </si>
  <si>
    <t>NACE_C2366</t>
  </si>
  <si>
    <t>C - 23.7 Cutting, shaping and finishing of stone</t>
  </si>
  <si>
    <t>NACE_C237</t>
  </si>
  <si>
    <t>C - 23.70 Cutting, shaping and finishing of stone</t>
  </si>
  <si>
    <t>NACE_C2370</t>
  </si>
  <si>
    <t>C - 23.9 Manufacture of abrasive products and non-metallic mineral products n.e.c.</t>
  </si>
  <si>
    <t>NACE_C239</t>
  </si>
  <si>
    <t>C - 23.91 Manufacture of abrasive products</t>
  </si>
  <si>
    <t>NACE_C2391</t>
  </si>
  <si>
    <t>C - 23.99 Manufacture of other non-metallic mineral products n.e.c.</t>
  </si>
  <si>
    <t>NACE_C2399</t>
  </si>
  <si>
    <t>C - 24 Manufacture of basic metals</t>
  </si>
  <si>
    <t>NACE_C24</t>
  </si>
  <si>
    <t>C - 24.1 Manufacture of basic iron and steel and of ferro-alloys</t>
  </si>
  <si>
    <t>NACE_C241</t>
  </si>
  <si>
    <t>C - 24.10 Manufacture of basic iron and steel and of ferro-alloys</t>
  </si>
  <si>
    <t>NACE_C2410</t>
  </si>
  <si>
    <t>C - 24.2 Manufacture of tubes, pipes, hollow profiles and related fittings, of steel</t>
  </si>
  <si>
    <t>NACE_C242</t>
  </si>
  <si>
    <t>C - 24.20 Manufacture of tubes, pipes, hollow profiles and related fittings, of steel</t>
  </si>
  <si>
    <t>NACE_C2420</t>
  </si>
  <si>
    <t>C - 24.3 Manufacture of other products of first processing of steel</t>
  </si>
  <si>
    <t>NACE_C243</t>
  </si>
  <si>
    <t>C - 24.31 Cold drawing of bars</t>
  </si>
  <si>
    <t>NACE_C2431</t>
  </si>
  <si>
    <t>C - 24.32 Cold rolling of narrow strip</t>
  </si>
  <si>
    <t>NACE_C2432</t>
  </si>
  <si>
    <t>C - 24.33 Cold forming or folding</t>
  </si>
  <si>
    <t>NACE_C2433</t>
  </si>
  <si>
    <t>C - 24.34 Cold drawing of wire</t>
  </si>
  <si>
    <t>NACE_C2434</t>
  </si>
  <si>
    <t>C - 24.4 Manufacture of basic precious and other non-ferrous metals</t>
  </si>
  <si>
    <t>NACE_C244</t>
  </si>
  <si>
    <t>C - 24.41 Precious metals production</t>
  </si>
  <si>
    <t>NACE_C2441</t>
  </si>
  <si>
    <t>C - 24.42 Aluminium production</t>
  </si>
  <si>
    <t>NACE_C2442</t>
  </si>
  <si>
    <t>C - 24.43 Lead, zinc and tin production</t>
  </si>
  <si>
    <t>NACE_C2443</t>
  </si>
  <si>
    <t>C - 24.44 Copper production</t>
  </si>
  <si>
    <t>NACE_C2444</t>
  </si>
  <si>
    <t>C - 24.45 Other non-ferrous metal production</t>
  </si>
  <si>
    <t>NACE_C2445</t>
  </si>
  <si>
    <t>C - 24.46 Processing of nuclear fuel</t>
  </si>
  <si>
    <t>NACE_C2446</t>
  </si>
  <si>
    <t>C - 24.5 Casting of metals</t>
  </si>
  <si>
    <t>NACE_C245</t>
  </si>
  <si>
    <t>C - 24.51 Casting of iron</t>
  </si>
  <si>
    <t>NACE_C2451</t>
  </si>
  <si>
    <t>C - 24.52 Casting of steel</t>
  </si>
  <si>
    <t>NACE_C2452</t>
  </si>
  <si>
    <t>C - 24.53 Casting of light metals</t>
  </si>
  <si>
    <t>NACE_C2453</t>
  </si>
  <si>
    <t>C - 24.54 Casting of other non-ferrous metals</t>
  </si>
  <si>
    <t>NACE_C2454</t>
  </si>
  <si>
    <t>C - 25 Manufacture of fabricated metal products, except machinery and equipment</t>
  </si>
  <si>
    <t>NACE_C25</t>
  </si>
  <si>
    <t>C - 25.1 Manufacture of structural metal products</t>
  </si>
  <si>
    <t>NACE_C251</t>
  </si>
  <si>
    <t>C - 25.11 Manufacture of metal structures and parts of structures</t>
  </si>
  <si>
    <t>NACE_C2511</t>
  </si>
  <si>
    <t>C - 25.12 Manufacture of doors and windows of metal</t>
  </si>
  <si>
    <t>NACE_C2512</t>
  </si>
  <si>
    <t>C - 25.2 Manufacture of tanks, reservoirs and containers of metal</t>
  </si>
  <si>
    <t>NACE_C252</t>
  </si>
  <si>
    <t>C - 25.21 Manufacture of central heating radiators, steam generators and boilers</t>
  </si>
  <si>
    <t>NACE_C2521</t>
  </si>
  <si>
    <t>C - 25.22 Manufacture of other tanks, reservoirs and containers of metal</t>
  </si>
  <si>
    <t>NACE_C2522</t>
  </si>
  <si>
    <t>C - 25.3 Manufacture of weapons and ammunition</t>
  </si>
  <si>
    <t>NACE_C253</t>
  </si>
  <si>
    <t>C - 25.30 Manufacture of weapons and ammunition</t>
  </si>
  <si>
    <t>NACE_C2530</t>
  </si>
  <si>
    <t>C - 25.4 Forging and shaping metal and powder metallurgy</t>
  </si>
  <si>
    <t>NACE_C254</t>
  </si>
  <si>
    <t>C - 25.40 Forging and shaping metal and powder metallurgy</t>
  </si>
  <si>
    <t>NACE_C2540</t>
  </si>
  <si>
    <t>C - 25.5 Treatment and coating of metals; machining</t>
  </si>
  <si>
    <t>NACE_C255</t>
  </si>
  <si>
    <t>C - 25.51 Coating of metals</t>
  </si>
  <si>
    <t>NACE_C2551</t>
  </si>
  <si>
    <t>C - 25.52 Heat treatment of metals</t>
  </si>
  <si>
    <t>NACE_C2552</t>
  </si>
  <si>
    <t>C - 25.53 Machining of metals</t>
  </si>
  <si>
    <t>NACE_C2553</t>
  </si>
  <si>
    <t>C - 25.6 Manufacture of cutlery, tools and general hardware</t>
  </si>
  <si>
    <t>NACE_C256</t>
  </si>
  <si>
    <t>C - 25.61 Manufacture of cutlery</t>
  </si>
  <si>
    <t>NACE_C2561</t>
  </si>
  <si>
    <t>C - 25.62 Manufacture of locks and hinges</t>
  </si>
  <si>
    <t>NACE_C2562</t>
  </si>
  <si>
    <t>C - 25.63 Manufacture of tools</t>
  </si>
  <si>
    <t>NACE_C2563</t>
  </si>
  <si>
    <t>C - 25.9 Manufacture of other fabricated metal products</t>
  </si>
  <si>
    <t>NACE_C259</t>
  </si>
  <si>
    <t>C - 25.91 Manufacture of steel drums and similar containers</t>
  </si>
  <si>
    <t>NACE_C2591</t>
  </si>
  <si>
    <t>C - 25.92 Manufacture of light metal packaging</t>
  </si>
  <si>
    <t>NACE_C2592</t>
  </si>
  <si>
    <t>C - 25.93 Manufacture of wire products, chain and springs</t>
  </si>
  <si>
    <t>NACE_C2593</t>
  </si>
  <si>
    <t>C - 25.94 Manufacture of fasteners and screw machine products</t>
  </si>
  <si>
    <t>NACE_C2594</t>
  </si>
  <si>
    <t>C - 25.99 Manufacture of other fabricated metal products n.e.c.</t>
  </si>
  <si>
    <t>NACE_C2599</t>
  </si>
  <si>
    <t>C - 26 Manufacture of computer, electronic and optical products</t>
  </si>
  <si>
    <t>NACE_C26</t>
  </si>
  <si>
    <t>C - 26.1 Manufacture of electronic components and boards</t>
  </si>
  <si>
    <t>NACE_C261</t>
  </si>
  <si>
    <t>C - 26.11 Manufacture of electronic components</t>
  </si>
  <si>
    <t>NACE_C2611</t>
  </si>
  <si>
    <t>C - 26.12 Manufacture of loaded electronic boards</t>
  </si>
  <si>
    <t>NACE_C2612</t>
  </si>
  <si>
    <t>C - 26.2 Manufacture of computers and peripheral equipment</t>
  </si>
  <si>
    <t>NACE_C262</t>
  </si>
  <si>
    <t>C - 26.20 Manufacture of computers and peripheral equipment</t>
  </si>
  <si>
    <t>NACE_C2620</t>
  </si>
  <si>
    <t>C - 26.3 Manufacture of communication equipment</t>
  </si>
  <si>
    <t>NACE_C263</t>
  </si>
  <si>
    <t>C - 26.30 Manufacture of communication equipment</t>
  </si>
  <si>
    <t>NACE_C2630</t>
  </si>
  <si>
    <t>C - 26.4 Manufacture of consumer electronics</t>
  </si>
  <si>
    <t>NACE_C264</t>
  </si>
  <si>
    <t>C - 26.40 Manufacture of consumer electronics</t>
  </si>
  <si>
    <t>NACE_C2640</t>
  </si>
  <si>
    <t>C - 26.5 Manufacture of measuring testing instruments, clocks and watches</t>
  </si>
  <si>
    <t>NACE_C265</t>
  </si>
  <si>
    <t>C - 26.51 Manufacture of instruments and appliances for measuring, testing and navigation</t>
  </si>
  <si>
    <t>NACE_C2651</t>
  </si>
  <si>
    <t>C - 26.52 Manufacture of watches and clocks</t>
  </si>
  <si>
    <t>NACE_C2652</t>
  </si>
  <si>
    <t>C - 26.6 Manufacture of irradiation, electromedical and electrotherapeutic equipment</t>
  </si>
  <si>
    <t>NACE_C266</t>
  </si>
  <si>
    <t>C - 26.60 Manufacture of irradiation, electromedical and electrotherapeutic equipment</t>
  </si>
  <si>
    <t>NACE_C2660</t>
  </si>
  <si>
    <t>C - 26.7 Manufacture of optical instruments, magnetic and optical media and photographic equipment</t>
  </si>
  <si>
    <t>NACE_C267</t>
  </si>
  <si>
    <t>C - 26.70 Manufacture of optical instruments, magnetic and optical media and photographic equipment</t>
  </si>
  <si>
    <t>NACE_C2670</t>
  </si>
  <si>
    <t>C - 27 Manufacture of electrical equipment</t>
  </si>
  <si>
    <t>NACE_C27</t>
  </si>
  <si>
    <t>C - 27.1 Manufacture of electric motors, generators, transformers and electricity distribution and control apparatus</t>
  </si>
  <si>
    <t>NACE_C271</t>
  </si>
  <si>
    <t>C - 27.11 Manufacture of electric motors, generators and transformers</t>
  </si>
  <si>
    <t>NACE_C2711</t>
  </si>
  <si>
    <t>C - 27.12 Manufacture of electricity distribution and control apparatus</t>
  </si>
  <si>
    <t>NACE_C2712</t>
  </si>
  <si>
    <t>C - 27.2 Manufacture of batteries and accumulators</t>
  </si>
  <si>
    <t>NACE_C272</t>
  </si>
  <si>
    <t>C - 27.20 Manufacture of batteries and accumulators</t>
  </si>
  <si>
    <t>NACE_C2720</t>
  </si>
  <si>
    <t>C - 27.3 Manufacture of wiring and wiring devices</t>
  </si>
  <si>
    <t>NACE_C273</t>
  </si>
  <si>
    <t>C - 27.31 Manufacture of fibre optic cables</t>
  </si>
  <si>
    <t>NACE_C2731</t>
  </si>
  <si>
    <t>C - 27.32 Manufacture of other electronic and electric wires and cables</t>
  </si>
  <si>
    <t>NACE_C2732</t>
  </si>
  <si>
    <t>C - 27.33 Manufacture of wiring devices</t>
  </si>
  <si>
    <t>NACE_C2733</t>
  </si>
  <si>
    <t>C - 27.4 Manufacture of lighting equipment</t>
  </si>
  <si>
    <t>NACE_C274</t>
  </si>
  <si>
    <t>C - 27.40 Manufacture of lighting equipment</t>
  </si>
  <si>
    <t>NACE_C2740</t>
  </si>
  <si>
    <t>C - 27.5 Manufacture of domestic appliances</t>
  </si>
  <si>
    <t>NACE_C275</t>
  </si>
  <si>
    <t>C - 27.51 Manufacture of electric domestic appliances</t>
  </si>
  <si>
    <t>NACE_C2751</t>
  </si>
  <si>
    <t>C - 27.52 Manufacture of non-electric domestic appliances</t>
  </si>
  <si>
    <t>NACE_C2752</t>
  </si>
  <si>
    <t>C - 27.9 Manufacture of other electrical equipment</t>
  </si>
  <si>
    <t>NACE_C279</t>
  </si>
  <si>
    <t>C - 27.90 Manufacture of other electrical equipment</t>
  </si>
  <si>
    <t>NACE_C2790</t>
  </si>
  <si>
    <t>C - 28 Manufacture of machinery and equipment n.e.c.</t>
  </si>
  <si>
    <t>NACE_C28</t>
  </si>
  <si>
    <t>C - 28.1 Manufacture of general-purpose machinery</t>
  </si>
  <si>
    <t>NACE_C281</t>
  </si>
  <si>
    <t>C - 28.11 Manufacture of engines and turbines, except aircraft, vehicle and cycle engines</t>
  </si>
  <si>
    <t>NACE_C2811</t>
  </si>
  <si>
    <t>C - 28.12 Manufacture of fluid power equipment</t>
  </si>
  <si>
    <t>NACE_C2812</t>
  </si>
  <si>
    <t>C - 28.13 Manufacture of other pumps and compressors</t>
  </si>
  <si>
    <t>NACE_C2813</t>
  </si>
  <si>
    <t>C - 28.14 Manufacture of other taps and valves</t>
  </si>
  <si>
    <t>NACE_C2814</t>
  </si>
  <si>
    <t>C - 28.15 Manufacture of bearings, gears, gearing and driving elements</t>
  </si>
  <si>
    <t>NACE_C2815</t>
  </si>
  <si>
    <t>C - 28.2 Manufacture of other general-purpose machinery</t>
  </si>
  <si>
    <t>NACE_C282</t>
  </si>
  <si>
    <t>C - 28.21 Manufacture of ovens, furnaces and permanent household heating equipment</t>
  </si>
  <si>
    <t>NACE_C2821</t>
  </si>
  <si>
    <t>C - 28.22 Manufacture of lifting and handling equipment</t>
  </si>
  <si>
    <t>NACE_C2822</t>
  </si>
  <si>
    <t>C - 28.23 Manufacture of office machinery and equipment, except computers and peripheral equipment</t>
  </si>
  <si>
    <t>NACE_C2823</t>
  </si>
  <si>
    <t>C - 28.24 Manufacture of power-driven hand tools</t>
  </si>
  <si>
    <t>NACE_C2824</t>
  </si>
  <si>
    <t>C - 28.25 Manufacture of non-domestic air conditioning equipment</t>
  </si>
  <si>
    <t>NACE_C2825</t>
  </si>
  <si>
    <t>C - 28.29 Manufacture of other general-purpose machinery n.e.c.</t>
  </si>
  <si>
    <t>NACE_C2829</t>
  </si>
  <si>
    <t>C - 28.3 Manufacture of agricultural and forestry machinery</t>
  </si>
  <si>
    <t>NACE_C283</t>
  </si>
  <si>
    <t>C - 28.30 Manufacture of agricultural and forestry machinery</t>
  </si>
  <si>
    <t>NACE_C2830</t>
  </si>
  <si>
    <t>C - 28.4 Manufacture of metal forming machinery and machine tools</t>
  </si>
  <si>
    <t>NACE_C284</t>
  </si>
  <si>
    <t>C - 28.41 Manufacture of metal forming machinery and machine tools for metal work</t>
  </si>
  <si>
    <t>NACE_C2841</t>
  </si>
  <si>
    <t>C - 28.42 Manufacture of other machine tools</t>
  </si>
  <si>
    <t>NACE_C2842</t>
  </si>
  <si>
    <t>C - 28.9 Manufacture of other special-purpose machinery</t>
  </si>
  <si>
    <t>NACE_C289</t>
  </si>
  <si>
    <t>C - 28.91 Manufacture of machinery for metallurgy</t>
  </si>
  <si>
    <t>NACE_C2891</t>
  </si>
  <si>
    <t>C - 28.92 Manufacture of machinery for mining, quarrying and construction</t>
  </si>
  <si>
    <t>NACE_C2892</t>
  </si>
  <si>
    <t>C - 28.93 Manufacture of machinery for food, beverage and tobacco processing</t>
  </si>
  <si>
    <t>NACE_C2893</t>
  </si>
  <si>
    <t>C - 28.94 Manufacture of machinery for textile, apparel and leather production</t>
  </si>
  <si>
    <t>NACE_C2894</t>
  </si>
  <si>
    <t>C - 28.95 Manufacture of machinery for paper and paperboard production</t>
  </si>
  <si>
    <t>NACE_C2895</t>
  </si>
  <si>
    <t>C - 28.96 Manufacture of plastics and rubber machinery</t>
  </si>
  <si>
    <t>NACE_C2896</t>
  </si>
  <si>
    <t>C - 28.97 Manufacture of additive manufacturing machinery</t>
  </si>
  <si>
    <t>NACE_C2897</t>
  </si>
  <si>
    <t>C - 28.99 Manufacture of other special-purpose machinery n.e.c.</t>
  </si>
  <si>
    <t>NACE_C2899</t>
  </si>
  <si>
    <t>C - 29 Manufacture of motor vehicles, trailers and semi-trailers</t>
  </si>
  <si>
    <t>NACE_C29</t>
  </si>
  <si>
    <t>C - 29.1 Manufacture of motor vehicles</t>
  </si>
  <si>
    <t>NACE_C291</t>
  </si>
  <si>
    <t>C - 29.10 Manufacture of motor vehicles</t>
  </si>
  <si>
    <t>NACE_C2910</t>
  </si>
  <si>
    <t>C - 29.2 Manufacture of bodies and coachwork for motor vehicles; manufacture of trailers and semi-trailers</t>
  </si>
  <si>
    <t>NACE_C292</t>
  </si>
  <si>
    <t>C - 29.20 Manufacture of bodies and coachwork for motor vehicles; manufacture of trailers and semi-trailers</t>
  </si>
  <si>
    <t>NACE_C2920</t>
  </si>
  <si>
    <t>C - 29.3 Manufacture of motor vehicle parts and accessories</t>
  </si>
  <si>
    <t>NACE_C293</t>
  </si>
  <si>
    <t>C - 29.31 Manufacture of electrical and electronic equipment for motor vehicles</t>
  </si>
  <si>
    <t>NACE_C2931</t>
  </si>
  <si>
    <t>C - 29.32 Manufacture of other parts and accessories for motor vehicles</t>
  </si>
  <si>
    <t>NACE_C2932</t>
  </si>
  <si>
    <t>C - 30 Manufacture of other transport equipment</t>
  </si>
  <si>
    <t>NACE_C30</t>
  </si>
  <si>
    <t>C - 30.1 Building of ships and boats</t>
  </si>
  <si>
    <t>NACE_C301</t>
  </si>
  <si>
    <t>C - 30.11 Building of civilian ships and floating structures</t>
  </si>
  <si>
    <t>NACE_C3011</t>
  </si>
  <si>
    <t>C - 30.12 Building of pleasure and sporting boats</t>
  </si>
  <si>
    <t>NACE_C3012</t>
  </si>
  <si>
    <t>C - 30.13 Building of military ships and vessels</t>
  </si>
  <si>
    <t>NACE_C3013</t>
  </si>
  <si>
    <t>C - 30.2 Manufacture of railway locomotives and rolling stock</t>
  </si>
  <si>
    <t>NACE_C302</t>
  </si>
  <si>
    <t>C - 30.20 Manufacture of railway locomotives and rolling stock</t>
  </si>
  <si>
    <t>NACE_C3020</t>
  </si>
  <si>
    <t>C - 30.3 Manufacture of air and spacecraft and related machinery</t>
  </si>
  <si>
    <t>NACE_C303</t>
  </si>
  <si>
    <t>C - 30.31 Manufacture of civilian air and spacecraft and related machinery</t>
  </si>
  <si>
    <t>NACE_C3031</t>
  </si>
  <si>
    <t>C - 30.32 Manufacture of military air and spacecraft and related machinery</t>
  </si>
  <si>
    <t>NACE_C3032</t>
  </si>
  <si>
    <t>C - 30.4 Manufacture of military fighting vehicles</t>
  </si>
  <si>
    <t>NACE_C304</t>
  </si>
  <si>
    <t>C - 30.40 Manufacture of military fighting vehicles</t>
  </si>
  <si>
    <t>NACE_C3040</t>
  </si>
  <si>
    <t>C - 30.9 Manufacture of transport equipment n.e.c.</t>
  </si>
  <si>
    <t>NACE_C309</t>
  </si>
  <si>
    <t>C - 30.91 Manufacture of motorcycles</t>
  </si>
  <si>
    <t>NACE_C3091</t>
  </si>
  <si>
    <t>C - 30.92 Manufacture of bicycles and invalid carriages</t>
  </si>
  <si>
    <t>NACE_C3092</t>
  </si>
  <si>
    <t>C - 30.99 Manufacture of other transport equipment n.e.c.</t>
  </si>
  <si>
    <t>NACE_C3099</t>
  </si>
  <si>
    <t>C - 31 Manufacture of furniture</t>
  </si>
  <si>
    <t>NACE_C31</t>
  </si>
  <si>
    <t>C - 31.0 Manufacture of furniture</t>
  </si>
  <si>
    <t>NACE_C310</t>
  </si>
  <si>
    <t>C - 31.00 Manufacture of furniture</t>
  </si>
  <si>
    <t>NACE_C3100</t>
  </si>
  <si>
    <t>C - 32 Other manufacturing</t>
  </si>
  <si>
    <t>NACE_C32</t>
  </si>
  <si>
    <t>C - 32.1 Manufacture of jewellery, bijouterie and related articles</t>
  </si>
  <si>
    <t>NACE_C321</t>
  </si>
  <si>
    <t>C - 32.11 Striking of coins</t>
  </si>
  <si>
    <t>NACE_C3211</t>
  </si>
  <si>
    <t>C - 32.12 Manufacture of jewellery and related articles</t>
  </si>
  <si>
    <t>NACE_C3212</t>
  </si>
  <si>
    <t>C - 32.13 Manufacture of imitation jewellery and related articles</t>
  </si>
  <si>
    <t>NACE_C3213</t>
  </si>
  <si>
    <t>C - 32.2 Manufacture of musical instruments</t>
  </si>
  <si>
    <t>NACE_C322</t>
  </si>
  <si>
    <t>C - 32.20 Manufacture of musical instruments</t>
  </si>
  <si>
    <t>NACE_C3220</t>
  </si>
  <si>
    <t>C - 32.3 Manufacture of sports goods</t>
  </si>
  <si>
    <t>NACE_C323</t>
  </si>
  <si>
    <t>C - 32.30 Manufacture of sports goods</t>
  </si>
  <si>
    <t>NACE_C3230</t>
  </si>
  <si>
    <t>C - 32.4 Manufacture of games and toys</t>
  </si>
  <si>
    <t>NACE_C324</t>
  </si>
  <si>
    <t>C - 32.40 Manufacture of games and toys</t>
  </si>
  <si>
    <t>NACE_C3240</t>
  </si>
  <si>
    <t>C - 32.5 Manufacture of medical and dental instruments and supplies</t>
  </si>
  <si>
    <t>NACE_C325</t>
  </si>
  <si>
    <t>C - 32.50 Manufacture of medical and dental instruments and supplies</t>
  </si>
  <si>
    <t>NACE_C3250</t>
  </si>
  <si>
    <t>C - 32.9 Manufacturing n.e.c.</t>
  </si>
  <si>
    <t>NACE_C329</t>
  </si>
  <si>
    <t>C - 32.91 Manufacture of brooms and brushes</t>
  </si>
  <si>
    <t>NACE_C3291</t>
  </si>
  <si>
    <t>C - 32.99 Other manufacturing n.e.c.</t>
  </si>
  <si>
    <t>NACE_C3299</t>
  </si>
  <si>
    <t>C - 33 Repair, maintenance and installation of machinery and equipment</t>
  </si>
  <si>
    <t>NACE_C33</t>
  </si>
  <si>
    <t>C - 33.1 Repair and maintenance of fabricated metal products, machinery and equipment</t>
  </si>
  <si>
    <t>NACE_C331</t>
  </si>
  <si>
    <t>C - 33.11 Repair and maintenance of fabricated metal products</t>
  </si>
  <si>
    <t>NACE_C3311</t>
  </si>
  <si>
    <t>C - 33.12 Repair and maintenance of machinery</t>
  </si>
  <si>
    <t>NACE_C3312</t>
  </si>
  <si>
    <t>C - 33.13 Repair and maintenance of electronic and optical equipment</t>
  </si>
  <si>
    <t>NACE_C3313</t>
  </si>
  <si>
    <t>C - 33.14 Repair and maintenance of electrical equipment</t>
  </si>
  <si>
    <t>NACE_C3314</t>
  </si>
  <si>
    <t>C - 33.15 Repair and maintenance of civilian ships and boats</t>
  </si>
  <si>
    <t>NACE_C3315</t>
  </si>
  <si>
    <t>C - 33.16 Repair and maintenance of civilian air and spacecraft</t>
  </si>
  <si>
    <t>NACE_C3316</t>
  </si>
  <si>
    <t>C - 33.17 Repair and maintenance of other civilian transport equipment</t>
  </si>
  <si>
    <t>NACE_C3317</t>
  </si>
  <si>
    <t>C - 33.18 Repair and maintenance of military fighting vehicles, ships, boats, air and spacecraft</t>
  </si>
  <si>
    <t>NACE_C3318</t>
  </si>
  <si>
    <t>C - 33.19 Repair and maintenance of other equipment</t>
  </si>
  <si>
    <t>NACE_C3319</t>
  </si>
  <si>
    <t>C - 33.2 Installation of industrial machinery and equipment</t>
  </si>
  <si>
    <t>NACE_C332</t>
  </si>
  <si>
    <t>C - 33.20 Installation of industrial machinery and equipment</t>
  </si>
  <si>
    <t>NACE_C3320</t>
  </si>
  <si>
    <t>D - ELECTRICITY, GAS, STEAM AND AIR CONDITIONING SUPPLY</t>
  </si>
  <si>
    <t>NACE_D</t>
  </si>
  <si>
    <t>D - 35 Electricity, gas, steam and air conditioning supply</t>
  </si>
  <si>
    <t>NACE_D35</t>
  </si>
  <si>
    <t>D - 35.1 Electric power generation, transmission and distribution</t>
  </si>
  <si>
    <t>NACE_D351</t>
  </si>
  <si>
    <t>D - 35.11 Production of electricity from non-renewable sources</t>
  </si>
  <si>
    <t>NACE_D3511</t>
  </si>
  <si>
    <t>D - 35.12 Production of electricity from renewable sources</t>
  </si>
  <si>
    <t>NACE_D3512</t>
  </si>
  <si>
    <t>D - 35.13 Transmission of electricity</t>
  </si>
  <si>
    <t>NACE_D3513</t>
  </si>
  <si>
    <t>D - 35.14 Distribution of electricity</t>
  </si>
  <si>
    <t>NACE_D3514</t>
  </si>
  <si>
    <t>D - 35.15 Trade of electricity</t>
  </si>
  <si>
    <t>NACE_D3515</t>
  </si>
  <si>
    <t>D - 35.16 Storage of electricity</t>
  </si>
  <si>
    <t>NACE_D3516</t>
  </si>
  <si>
    <t>D - 35.2 Manufacture of gas, and distribution of gaseous fuels through mains</t>
  </si>
  <si>
    <t>NACE_D352</t>
  </si>
  <si>
    <t>D - 35.21 Manufacture of gas</t>
  </si>
  <si>
    <t>NACE_D3521</t>
  </si>
  <si>
    <t>D - 35.22 Distribution of gaseous fuels through mains</t>
  </si>
  <si>
    <t>NACE_D3522</t>
  </si>
  <si>
    <t>D - 35.23 Trade of gas through mains</t>
  </si>
  <si>
    <t>NACE_D3523</t>
  </si>
  <si>
    <t>D - 35.24 Storage of gas as part of network supply services</t>
  </si>
  <si>
    <t>NACE_D3524</t>
  </si>
  <si>
    <t>D - 35.3 Steam and air conditioning supply</t>
  </si>
  <si>
    <t>NACE_D353</t>
  </si>
  <si>
    <t>D - 35.30 Steam and air conditioning supply</t>
  </si>
  <si>
    <t>NACE_D3530</t>
  </si>
  <si>
    <t>D - 35.4 Activities of brokers and agents for electric power and natural gas</t>
  </si>
  <si>
    <t>NACE_D354</t>
  </si>
  <si>
    <t>D - 35.40 Activities of brokers and agents for electric power and natural gas</t>
  </si>
  <si>
    <t>NACE_D3540</t>
  </si>
  <si>
    <t>E - WATER SUPPLY; SEWERAGE, WASTE MANAGEMENT AND REMEDIATION ACTIVITIES</t>
  </si>
  <si>
    <t>NACE_E</t>
  </si>
  <si>
    <t>E - 36 Water collection, treatment and supply</t>
  </si>
  <si>
    <t>NACE_E36</t>
  </si>
  <si>
    <t>E - 36.0 Water collection, treatment and supply</t>
  </si>
  <si>
    <t>NACE_E360</t>
  </si>
  <si>
    <t>E - 36.00 Water collection, treatment and supply</t>
  </si>
  <si>
    <t>NACE_E3600</t>
  </si>
  <si>
    <t>E - 37 Sewerage</t>
  </si>
  <si>
    <t>NACE_E37</t>
  </si>
  <si>
    <t>E - 37.0 Sewerage</t>
  </si>
  <si>
    <t>NACE_E370</t>
  </si>
  <si>
    <t>E - 37.00 Sewerage</t>
  </si>
  <si>
    <t>NACE_E3700</t>
  </si>
  <si>
    <t>E - 38 Waste collection, recovery and disposal activities</t>
  </si>
  <si>
    <t>NACE_E38</t>
  </si>
  <si>
    <t>E - 38.1 Waste collection</t>
  </si>
  <si>
    <t>NACE_E381</t>
  </si>
  <si>
    <t>E - 38.11 Collection of non-hazardous waste</t>
  </si>
  <si>
    <t>NACE_E3811</t>
  </si>
  <si>
    <t>E - 38.12 Collection of hazardous waste</t>
  </si>
  <si>
    <t>NACE_E3812</t>
  </si>
  <si>
    <t>E - 38.2 Waste recovery</t>
  </si>
  <si>
    <t>NACE_E382</t>
  </si>
  <si>
    <t>E - 38.21 Materials recovery</t>
  </si>
  <si>
    <t>NACE_E3821</t>
  </si>
  <si>
    <t>E - 38.22 Energy recovery</t>
  </si>
  <si>
    <t>NACE_E3822</t>
  </si>
  <si>
    <t>E - 38.23 Other waste recovery</t>
  </si>
  <si>
    <t>NACE_E3823</t>
  </si>
  <si>
    <t>E - 38.3 Waste disposal without recovery</t>
  </si>
  <si>
    <t>NACE_E383</t>
  </si>
  <si>
    <t>E - 38.31 Incineration without energy recovery</t>
  </si>
  <si>
    <t>NACE_E3831</t>
  </si>
  <si>
    <t>E - 38.32 Landfilling or permanent storage</t>
  </si>
  <si>
    <t>NACE_E3832</t>
  </si>
  <si>
    <t>E - 38.33 Other waste disposal</t>
  </si>
  <si>
    <t>NACE_E3833</t>
  </si>
  <si>
    <t>E - 39 Remediation activities and other waste management service activities</t>
  </si>
  <si>
    <t>NACE_E39</t>
  </si>
  <si>
    <t>E - 39.0 Remediation activities and other waste management service activities</t>
  </si>
  <si>
    <t>NACE_E390</t>
  </si>
  <si>
    <t>E - 39.00 Remediation activities and other waste management service activities</t>
  </si>
  <si>
    <t>NACE_E3900</t>
  </si>
  <si>
    <t>F - CONSTRUCTION</t>
  </si>
  <si>
    <t>NACE_F</t>
  </si>
  <si>
    <t>F - 41 Construction of residential and non-residential buildings</t>
  </si>
  <si>
    <t>NACE_F41</t>
  </si>
  <si>
    <t>F - 41.0 Construction of residential and non-residential buildings</t>
  </si>
  <si>
    <t>NACE_F410</t>
  </si>
  <si>
    <t>F - 41.00 Construction of residential and non-residential buildings</t>
  </si>
  <si>
    <t>NACE_F4100</t>
  </si>
  <si>
    <t>F - 42 Civil engineering</t>
  </si>
  <si>
    <t>NACE_F42</t>
  </si>
  <si>
    <t>F - 42.1 Construction of roads and railways</t>
  </si>
  <si>
    <t>NACE_F421</t>
  </si>
  <si>
    <t>F - 42.11 Construction of roads and motorways</t>
  </si>
  <si>
    <t>NACE_F4211</t>
  </si>
  <si>
    <t>F - 42.12 Construction of railways and underground railways</t>
  </si>
  <si>
    <t>NACE_F4212</t>
  </si>
  <si>
    <t>F - 42.13 Construction of bridges and tunnels</t>
  </si>
  <si>
    <t>NACE_F4213</t>
  </si>
  <si>
    <t>F - 42.2 Construction of utility projects</t>
  </si>
  <si>
    <t>NACE_F422</t>
  </si>
  <si>
    <t>F - 42.21 Construction of utility projects for fluids</t>
  </si>
  <si>
    <t>NACE_F4221</t>
  </si>
  <si>
    <t>F - 42.22 Construction of utility projects for electricity and telecommunications</t>
  </si>
  <si>
    <t>NACE_F4222</t>
  </si>
  <si>
    <t>F - 42.9 Construction of other civil engineering projects</t>
  </si>
  <si>
    <t>NACE_F429</t>
  </si>
  <si>
    <t>F - 42.91 Construction of water projects</t>
  </si>
  <si>
    <t>NACE_F4291</t>
  </si>
  <si>
    <t>F - 42.99 Construction of other civil engineering projects n.e.c.</t>
  </si>
  <si>
    <t>NACE_F4299</t>
  </si>
  <si>
    <t>F - 43 Specialised construction activities</t>
  </si>
  <si>
    <t>NACE_F43</t>
  </si>
  <si>
    <t>F - 43.1 Demolition and site preparation</t>
  </si>
  <si>
    <t>NACE_F431</t>
  </si>
  <si>
    <t>F - 43.11 Demolition</t>
  </si>
  <si>
    <t>NACE_F4311</t>
  </si>
  <si>
    <t>F - 43.12 Site preparation</t>
  </si>
  <si>
    <t>NACE_F4312</t>
  </si>
  <si>
    <t>F - 43.13 Test drilling and boring</t>
  </si>
  <si>
    <t>NACE_F4313</t>
  </si>
  <si>
    <t>F - 43.2 Electrical, plumbing and other construction installation activities</t>
  </si>
  <si>
    <t>NACE_F432</t>
  </si>
  <si>
    <t>F - 43.21 Electrical installation</t>
  </si>
  <si>
    <t>NACE_F4321</t>
  </si>
  <si>
    <t>F - 43.22 Plumbing, heat and air-conditioning installation</t>
  </si>
  <si>
    <t>NACE_F4322</t>
  </si>
  <si>
    <t>F - 43.23 Installation of insulation</t>
  </si>
  <si>
    <t>NACE_F4323</t>
  </si>
  <si>
    <t>F - 43.24 Other construction installation</t>
  </si>
  <si>
    <t>NACE_F4324</t>
  </si>
  <si>
    <t>F - 43.3 Building completion and finishing</t>
  </si>
  <si>
    <t>NACE_F433</t>
  </si>
  <si>
    <t>F - 43.31 Plastering</t>
  </si>
  <si>
    <t>NACE_F4331</t>
  </si>
  <si>
    <t>F - 43.32 Joinery installation</t>
  </si>
  <si>
    <t>NACE_F4332</t>
  </si>
  <si>
    <t>F - 43.33 Floor and wall covering</t>
  </si>
  <si>
    <t>NACE_F4333</t>
  </si>
  <si>
    <t>F - 43.34 Painting and glazing</t>
  </si>
  <si>
    <t>NACE_F4334</t>
  </si>
  <si>
    <t>F - 43.35 Other building completion and finishing</t>
  </si>
  <si>
    <t>NACE_F4335</t>
  </si>
  <si>
    <t>F - 43.4 Specialised construction activities in construction of buildings</t>
  </si>
  <si>
    <t>NACE_F434</t>
  </si>
  <si>
    <t>F - 43.41 Roofing activities</t>
  </si>
  <si>
    <t>NACE_F4341</t>
  </si>
  <si>
    <t>F - 43.42 Other specialised construction activities in construction of buildings</t>
  </si>
  <si>
    <t>NACE_F4342</t>
  </si>
  <si>
    <t>F - 43.5 Specialised construction activities in civil engineering</t>
  </si>
  <si>
    <t>NACE_F435</t>
  </si>
  <si>
    <t>F - 43.50 Specialised construction activities in civil engineering</t>
  </si>
  <si>
    <t>NACE_F4350</t>
  </si>
  <si>
    <t>F - 43.6 Intermediation service activities for specialised construction services</t>
  </si>
  <si>
    <t>NACE_F436</t>
  </si>
  <si>
    <t>F - 43.60 Intermediation service activities for specialised construction services</t>
  </si>
  <si>
    <t>NACE_F4360</t>
  </si>
  <si>
    <t>F - 43.9 Other specialised construction activities</t>
  </si>
  <si>
    <t>NACE_F439</t>
  </si>
  <si>
    <t>F - 43.91 Masonry and bricklaying activities</t>
  </si>
  <si>
    <t>NACE_F4391</t>
  </si>
  <si>
    <t>F - 43.99 Other specialised construction activities n.e.c.</t>
  </si>
  <si>
    <t>NACE_F4399</t>
  </si>
  <si>
    <t>G - WHOLESALE AND RETAIL TRADE</t>
  </si>
  <si>
    <t>NACE_G</t>
  </si>
  <si>
    <t>G - 46 Wholesale trade</t>
  </si>
  <si>
    <t>NACE_G46</t>
  </si>
  <si>
    <t>G - 46.1 Wholesale on a fee or contract basis</t>
  </si>
  <si>
    <t>NACE_G461</t>
  </si>
  <si>
    <t>G - 46.11 Activities of agents involved in the wholesale of agricultural raw materials, live animals, textile raw materials and semi-finished goods</t>
  </si>
  <si>
    <t>NACE_G4611</t>
  </si>
  <si>
    <t>G - 46.12 Activities of agents involved in the wholesale of fuels, ores, metals and industrial chemicals</t>
  </si>
  <si>
    <t>NACE_G4612</t>
  </si>
  <si>
    <t>G - 46.13 Activities of agents involved in the wholesale of timber and building materials</t>
  </si>
  <si>
    <t>NACE_G4613</t>
  </si>
  <si>
    <t>G - 46.14 Activities of agents involved in the wholesale of machinery, industrial equipment, ships and aircraft</t>
  </si>
  <si>
    <t>NACE_G4614</t>
  </si>
  <si>
    <t>G - 46.15 Activities of agents involved in the wholesale of furniture, household goods, hardware and ironmongery</t>
  </si>
  <si>
    <t>NACE_G4615</t>
  </si>
  <si>
    <t>G - 46.16 Activities of agents involved in the wholesale of textiles, clothing, fur, footwear and leather goods</t>
  </si>
  <si>
    <t>NACE_G4616</t>
  </si>
  <si>
    <t>G - 46.17 Activities of agents involved in the wholesale of food, beverages and tobacco</t>
  </si>
  <si>
    <t>NACE_G4617</t>
  </si>
  <si>
    <t>G - 46.18 Activities of agents involved in the wholesale of other particular products</t>
  </si>
  <si>
    <t>NACE_G4618</t>
  </si>
  <si>
    <t>G - 46.19 Activities of agents involved in non-specialised wholesale</t>
  </si>
  <si>
    <t>NACE_G4619</t>
  </si>
  <si>
    <t>G - 46.2 Wholesale of agricultural raw materials and live animals</t>
  </si>
  <si>
    <t>NACE_G462</t>
  </si>
  <si>
    <t>G - 46.21 Wholesale of grain, unmanufactured tobacco, seeds and animal feeds</t>
  </si>
  <si>
    <t>NACE_G4621</t>
  </si>
  <si>
    <t>G - 46.22 Wholesale of flowers and plants</t>
  </si>
  <si>
    <t>NACE_G4622</t>
  </si>
  <si>
    <t>G - 46.23 Wholesale of live animals</t>
  </si>
  <si>
    <t>NACE_G4623</t>
  </si>
  <si>
    <t>G - 46.24 Wholesale of hides, skins and leather</t>
  </si>
  <si>
    <t>NACE_G4624</t>
  </si>
  <si>
    <t>G - 46.3 Wholesale of food, beverages and tobacco</t>
  </si>
  <si>
    <t>NACE_G463</t>
  </si>
  <si>
    <t>G - 46.31 Wholesale of fruit and vegetables</t>
  </si>
  <si>
    <t>NACE_G4631</t>
  </si>
  <si>
    <t>G - 46.32 Wholesale of meat, meat products, fish and fish products</t>
  </si>
  <si>
    <t>NACE_G4632</t>
  </si>
  <si>
    <t>G - 46.33 Wholesale of dairy products, eggs and edible oils and fats</t>
  </si>
  <si>
    <t>NACE_G4633</t>
  </si>
  <si>
    <t>G - 46.34 Wholesale of beverages</t>
  </si>
  <si>
    <t>NACE_G4634</t>
  </si>
  <si>
    <t>G - 46.35 Wholesale of tobacco products</t>
  </si>
  <si>
    <t>NACE_G4635</t>
  </si>
  <si>
    <t>G - 46.36 Wholesale of sugar, chocolate and sugar confectionery</t>
  </si>
  <si>
    <t>NACE_G4636</t>
  </si>
  <si>
    <t>G - 46.37 Wholesale of coffee, tea, cocoa and spices</t>
  </si>
  <si>
    <t>NACE_G4637</t>
  </si>
  <si>
    <t>G - 46.38 Wholesale of other food</t>
  </si>
  <si>
    <t>NACE_G4638</t>
  </si>
  <si>
    <t>G - 46.39 Non-specialised wholesale of food, beverages and tobacco</t>
  </si>
  <si>
    <t>NACE_G4639</t>
  </si>
  <si>
    <t>G - 46.4 Wholesale of household goods</t>
  </si>
  <si>
    <t>NACE_G464</t>
  </si>
  <si>
    <t>G - 46.41 Wholesale of textiles</t>
  </si>
  <si>
    <t>NACE_G4641</t>
  </si>
  <si>
    <t>G - 46.42 Wholesale of clothing and footwear</t>
  </si>
  <si>
    <t>NACE_G4642</t>
  </si>
  <si>
    <t>G - 46.43 Wholesale of electrical household appliances</t>
  </si>
  <si>
    <t>NACE_G4643</t>
  </si>
  <si>
    <t>G - 46.44 Wholesale of china and glassware and cleaning materials</t>
  </si>
  <si>
    <t>NACE_G4644</t>
  </si>
  <si>
    <t>G - 46.45 Wholesale of perfume and cosmetics</t>
  </si>
  <si>
    <t>NACE_G4645</t>
  </si>
  <si>
    <t>G - 46.46 Wholesale of pharmaceutical and medical goods</t>
  </si>
  <si>
    <t>NACE_G4646</t>
  </si>
  <si>
    <t>G - 46.47 Wholesale of household, office and shop furniture, carpets and lighting equipment</t>
  </si>
  <si>
    <t>NACE_G4647</t>
  </si>
  <si>
    <t>G - 46.48 Wholesale of watches and jewellery</t>
  </si>
  <si>
    <t>NACE_G4648</t>
  </si>
  <si>
    <t>G - 46.49 Wholesale of other household goods</t>
  </si>
  <si>
    <t>NACE_G4649</t>
  </si>
  <si>
    <t>G - 46.5 Wholesale of information and communication equipment</t>
  </si>
  <si>
    <t>NACE_G465</t>
  </si>
  <si>
    <t>G - 46.50 Wholesale of information and communication equipment</t>
  </si>
  <si>
    <t>NACE_G4650</t>
  </si>
  <si>
    <t>G - 46.6 Wholesale of other machinery, equipment and supplies</t>
  </si>
  <si>
    <t>NACE_G466</t>
  </si>
  <si>
    <t>G - 46.61 Wholesale of agricultural machinery, equipment and supplies</t>
  </si>
  <si>
    <t>NACE_G4661</t>
  </si>
  <si>
    <t>G - 46.62 Wholesale of machine tools</t>
  </si>
  <si>
    <t>NACE_G4662</t>
  </si>
  <si>
    <t>G - 46.63 Wholesale of mining, construction and civil engineering machinery</t>
  </si>
  <si>
    <t>NACE_G4663</t>
  </si>
  <si>
    <t>G - 46.64 Wholesale of other machinery and equipment</t>
  </si>
  <si>
    <t>NACE_G4664</t>
  </si>
  <si>
    <t>G - 46.7 Wholesale of motor vehicles, motorcycles and related parts and accessories</t>
  </si>
  <si>
    <t>NACE_G467</t>
  </si>
  <si>
    <t>G - 46.71 Wholesale of motor vehicles</t>
  </si>
  <si>
    <t>NACE_G4671</t>
  </si>
  <si>
    <t>G - 46.72 Wholesale of motor vehicle parts and accessories</t>
  </si>
  <si>
    <t>NACE_G4672</t>
  </si>
  <si>
    <t>G - 46.73 Wholesale of motorcycles, motorcycle parts and accessories</t>
  </si>
  <si>
    <t>NACE_G4673</t>
  </si>
  <si>
    <t>G - 46.8 Other specialised wholesale</t>
  </si>
  <si>
    <t>NACE_G468</t>
  </si>
  <si>
    <t>G - 46.81 Wholesale of solid, liquid and gaseous fuels and related products</t>
  </si>
  <si>
    <t>NACE_G4681</t>
  </si>
  <si>
    <t>G - 46.82 Wholesale of metals and metal ores</t>
  </si>
  <si>
    <t>NACE_G4682</t>
  </si>
  <si>
    <t>G - 46.83 Wholesale of wood, construction materials and sanitary equipment</t>
  </si>
  <si>
    <t>NACE_G4683</t>
  </si>
  <si>
    <t>G - 46.84 Wholesale of hardware, plumbing and heating equipment and supplies</t>
  </si>
  <si>
    <t>NACE_G4684</t>
  </si>
  <si>
    <t>G - 46.85 Wholesale of chemical products</t>
  </si>
  <si>
    <t>NACE_G4685</t>
  </si>
  <si>
    <t>G - 46.86 Wholesale of other intermediate products</t>
  </si>
  <si>
    <t>NACE_G4686</t>
  </si>
  <si>
    <t>G - 46.87 Wholesale of waste and scrap</t>
  </si>
  <si>
    <t>NACE_G4687</t>
  </si>
  <si>
    <t>G - 46.89 Other specialised wholesale n.e.c.</t>
  </si>
  <si>
    <t>NACE_G4689</t>
  </si>
  <si>
    <t>G - 46.9 Non-specialised wholesale trade</t>
  </si>
  <si>
    <t>NACE_G469</t>
  </si>
  <si>
    <t>G - 46.90 Non-specialised wholesale trade</t>
  </si>
  <si>
    <t>NACE_G4690</t>
  </si>
  <si>
    <t>G - 47 Retail trade</t>
  </si>
  <si>
    <t>NACE_G47</t>
  </si>
  <si>
    <t>G - 47.1 Non-specialised retail sale</t>
  </si>
  <si>
    <t>NACE_G471</t>
  </si>
  <si>
    <t>G - 47.11 Non-specialised retail sale of predominately food, beverages or tobacco</t>
  </si>
  <si>
    <t>NACE_G4711</t>
  </si>
  <si>
    <t>G - 47.12 Other non-specialised retail sale</t>
  </si>
  <si>
    <t>NACE_G4712</t>
  </si>
  <si>
    <t>G - 47.2 Retail sale of food, beverages and tobacco</t>
  </si>
  <si>
    <t>NACE_G472</t>
  </si>
  <si>
    <t>G - 47.21 Retail sale of fruit and vegetables</t>
  </si>
  <si>
    <t>NACE_G4721</t>
  </si>
  <si>
    <t>G - 47.22 Retail sale of meat and meat products</t>
  </si>
  <si>
    <t>NACE_G4722</t>
  </si>
  <si>
    <t>G - 47.23 Retail sale of fish, crustaceans and molluscs</t>
  </si>
  <si>
    <t>NACE_G4723</t>
  </si>
  <si>
    <t>G - 47.24 Retail sale of bread, cake and confectionery</t>
  </si>
  <si>
    <t>NACE_G4724</t>
  </si>
  <si>
    <t>G - 47.25 Retail sale of beverages</t>
  </si>
  <si>
    <t>NACE_G4725</t>
  </si>
  <si>
    <t>G - 47.26 Retail sale of tobacco products</t>
  </si>
  <si>
    <t>NACE_G4726</t>
  </si>
  <si>
    <t>G - 47.27 Retail sale of other food</t>
  </si>
  <si>
    <t>NACE_G4727</t>
  </si>
  <si>
    <t>G - 47.3 Retail sale of automotive fuel</t>
  </si>
  <si>
    <t>NACE_G473</t>
  </si>
  <si>
    <t>G - 47.30 Retail sale of automotive fuel</t>
  </si>
  <si>
    <t>NACE_G4730</t>
  </si>
  <si>
    <t>G - 47.4 Retail sale of information and communication equipment</t>
  </si>
  <si>
    <t>NACE_G474</t>
  </si>
  <si>
    <t>G - 47.40 Retail sale of information and communication equipment</t>
  </si>
  <si>
    <t>NACE_G4740</t>
  </si>
  <si>
    <t>G - 47.5 Retail sale of other household equipment</t>
  </si>
  <si>
    <t>NACE_G475</t>
  </si>
  <si>
    <t>G - 47.51 Retail sale of textiles</t>
  </si>
  <si>
    <t>NACE_G4751</t>
  </si>
  <si>
    <t>G - 47.52 Retail sale of hardware, building materials, paints and glass</t>
  </si>
  <si>
    <t>NACE_G4752</t>
  </si>
  <si>
    <t>G - 47.53 Retail sale of carpets, rugs, wall and floor coverings</t>
  </si>
  <si>
    <t>NACE_G4753</t>
  </si>
  <si>
    <t>G - 47.54 Retail sale of electrical household appliances</t>
  </si>
  <si>
    <t>NACE_G4754</t>
  </si>
  <si>
    <t>G - 47.55 Retail sale of furniture, lighting equipment, tableware and other household goods</t>
  </si>
  <si>
    <t>NACE_G4755</t>
  </si>
  <si>
    <t>G - 47.6 Retail sale of cultural and recreation goods</t>
  </si>
  <si>
    <t>NACE_G476</t>
  </si>
  <si>
    <t>G - 47.61 Retail sale of books</t>
  </si>
  <si>
    <t>NACE_G4761</t>
  </si>
  <si>
    <t>G - 47.62 Retail sale of newspapers, and other periodical publications and stationery</t>
  </si>
  <si>
    <t>NACE_G4762</t>
  </si>
  <si>
    <t>G - 47.63 Retail sale of sporting equipment</t>
  </si>
  <si>
    <t>NACE_G4763</t>
  </si>
  <si>
    <t>G - 47.64 Retail sale of games and toys</t>
  </si>
  <si>
    <t>NACE_G4764</t>
  </si>
  <si>
    <t>G - 47.69 Retail sale of cultural and recreational goods n.e.c.</t>
  </si>
  <si>
    <t>NACE_G4769</t>
  </si>
  <si>
    <t>G - 47.7 Retail sale of other goods, except motor vehicles and motorcycles</t>
  </si>
  <si>
    <t>NACE_G477</t>
  </si>
  <si>
    <t>G - 47.71 Retail sale of clothing</t>
  </si>
  <si>
    <t>NACE_G4771</t>
  </si>
  <si>
    <t>G - 47.72 Retail sale of footwear and leather goods</t>
  </si>
  <si>
    <t>NACE_G4772</t>
  </si>
  <si>
    <t>G - 47.73 Retail sale of pharmaceutical products</t>
  </si>
  <si>
    <t>NACE_G4773</t>
  </si>
  <si>
    <t>G - 47.74 Retail sale of medical and orthopaedic goods</t>
  </si>
  <si>
    <t>NACE_G4774</t>
  </si>
  <si>
    <t>G - 47.75 Retail sale of cosmetic and toilet articles</t>
  </si>
  <si>
    <t>NACE_G4775</t>
  </si>
  <si>
    <t>G - 47.76 Retail sale of flowers, plants, fertilisers, pets and pet food</t>
  </si>
  <si>
    <t>NACE_G4776</t>
  </si>
  <si>
    <t>G - 47.77 Retail sale of watches and jewellery</t>
  </si>
  <si>
    <t>NACE_G4777</t>
  </si>
  <si>
    <t>G - 47.78 Retail sale of other new goods</t>
  </si>
  <si>
    <t>NACE_G4778</t>
  </si>
  <si>
    <t>G - 47.79 Retail sale of second-hand goods</t>
  </si>
  <si>
    <t>NACE_G4779</t>
  </si>
  <si>
    <t>G - 47.8 Retail sale of motor vehicles, motorcycles and related parts and accessories</t>
  </si>
  <si>
    <t>NACE_G478</t>
  </si>
  <si>
    <t>G - 47.81 Retail sale of motor vehicles</t>
  </si>
  <si>
    <t>NACE_G4781</t>
  </si>
  <si>
    <t>G - 47.82 Retail sale of motor vehicle parts and accessories</t>
  </si>
  <si>
    <t>NACE_G4782</t>
  </si>
  <si>
    <t>G - 47.83 Retail sale of motorcycles, motorcycle parts and accessories</t>
  </si>
  <si>
    <t>NACE_G4783</t>
  </si>
  <si>
    <t>G - 47.9 Intermediation service activities for retail sale</t>
  </si>
  <si>
    <t>NACE_G479</t>
  </si>
  <si>
    <t>G - 47.91 Intermediation service activities for non-specialised retail sale</t>
  </si>
  <si>
    <t>NACE_G4791</t>
  </si>
  <si>
    <t>G - 47.92 Intermediation service activities for specialised retail sale</t>
  </si>
  <si>
    <t>NACE_G4792</t>
  </si>
  <si>
    <t>H - TRANSPORTATION AND STORAGE</t>
  </si>
  <si>
    <t>NACE_H</t>
  </si>
  <si>
    <t>H - 49 Land transport and transport via pipelines</t>
  </si>
  <si>
    <t>NACE_H49</t>
  </si>
  <si>
    <t>H - 49.1 Passenger rail transport</t>
  </si>
  <si>
    <t>NACE_H491</t>
  </si>
  <si>
    <t>H - 49.11 Passenger heavy rail transport</t>
  </si>
  <si>
    <t>NACE_H4911</t>
  </si>
  <si>
    <t>H - 49.12 Other passenger rail transport</t>
  </si>
  <si>
    <t>NACE_H4912</t>
  </si>
  <si>
    <t>H - 49.2 Freight rail transport</t>
  </si>
  <si>
    <t>NACE_H492</t>
  </si>
  <si>
    <t>H - 49.20 Freight rail transport</t>
  </si>
  <si>
    <t>NACE_H4920</t>
  </si>
  <si>
    <t>H - 49.3 Other passenger land transport</t>
  </si>
  <si>
    <t>NACE_H493</t>
  </si>
  <si>
    <t>H - 49.31 Scheduled passenger transport by road</t>
  </si>
  <si>
    <t>NACE_H4931</t>
  </si>
  <si>
    <t>H - 49.32 Non-scheduled passenger transport by road</t>
  </si>
  <si>
    <t>NACE_H4932</t>
  </si>
  <si>
    <t>H - 49.33 On-demand passenger transport service activities by vehicle with driver</t>
  </si>
  <si>
    <t>NACE_H4933</t>
  </si>
  <si>
    <t>H - 49.34 Passenger transport by cableways and ski lifts</t>
  </si>
  <si>
    <t>NACE_H4934</t>
  </si>
  <si>
    <t>H - 49.39 Other passenger land transport n.e.c.</t>
  </si>
  <si>
    <t>NACE_H4939</t>
  </si>
  <si>
    <t>H - 49.4 Freight transport by road and removal services</t>
  </si>
  <si>
    <t>NACE_H494</t>
  </si>
  <si>
    <t>H - 49.41 Freight transport by road</t>
  </si>
  <si>
    <t>NACE_H4941</t>
  </si>
  <si>
    <t>H - 49.42 Removal services</t>
  </si>
  <si>
    <t>NACE_H4942</t>
  </si>
  <si>
    <t>H - 49.5 Transport via pipeline</t>
  </si>
  <si>
    <t>NACE_H495</t>
  </si>
  <si>
    <t>H - 49.50 Transport via pipeline</t>
  </si>
  <si>
    <t>NACE_H4950</t>
  </si>
  <si>
    <t>H - 50 Water transport</t>
  </si>
  <si>
    <t>NACE_H50</t>
  </si>
  <si>
    <t>H - 50.1 Sea and coastal passenger water transport</t>
  </si>
  <si>
    <t>NACE_H501</t>
  </si>
  <si>
    <t>H - 50.10 Sea and coastal passenger water transport</t>
  </si>
  <si>
    <t>NACE_H5010</t>
  </si>
  <si>
    <t>H - 50.2 Sea and coastal freight water transport</t>
  </si>
  <si>
    <t>NACE_H502</t>
  </si>
  <si>
    <t>H - 50.20 Sea and coastal freight water transport</t>
  </si>
  <si>
    <t>NACE_H5020</t>
  </si>
  <si>
    <t>H - 50.3 Inland passenger water transport</t>
  </si>
  <si>
    <t>NACE_H503</t>
  </si>
  <si>
    <t>H - 50.30 Inland passenger water transport</t>
  </si>
  <si>
    <t>NACE_H5030</t>
  </si>
  <si>
    <t>H - 50.4 Inland freight water transport</t>
  </si>
  <si>
    <t>NACE_H504</t>
  </si>
  <si>
    <t>H - 50.40 Inland freight water transport</t>
  </si>
  <si>
    <t>NACE_H5040</t>
  </si>
  <si>
    <t>H - 51 Air transport</t>
  </si>
  <si>
    <t>NACE_H51</t>
  </si>
  <si>
    <t>H - 51.1 Passenger air transport</t>
  </si>
  <si>
    <t>NACE_H511</t>
  </si>
  <si>
    <t>H - 51.10 Passenger air transport</t>
  </si>
  <si>
    <t>NACE_H5110</t>
  </si>
  <si>
    <t>H - 51.2 Freight air transport and space transport</t>
  </si>
  <si>
    <t>NACE_H512</t>
  </si>
  <si>
    <t>H - 51.21 Freight air transport</t>
  </si>
  <si>
    <t>NACE_H5121</t>
  </si>
  <si>
    <t>H - 51.22 Space transport</t>
  </si>
  <si>
    <t>NACE_H5122</t>
  </si>
  <si>
    <t>H - 52 Warehousing, storage and support activities for transportation</t>
  </si>
  <si>
    <t>NACE_H52</t>
  </si>
  <si>
    <t>H - 52.1 Warehousing and storage</t>
  </si>
  <si>
    <t>NACE_H521</t>
  </si>
  <si>
    <t>H - 52.10 Warehousing and storage</t>
  </si>
  <si>
    <t>NACE_H5210</t>
  </si>
  <si>
    <t>H - 52.2 Support activities for transportation</t>
  </si>
  <si>
    <t>NACE_H522</t>
  </si>
  <si>
    <t>H - 52.21 Service activities incidental to land transportation</t>
  </si>
  <si>
    <t>NACE_H5221</t>
  </si>
  <si>
    <t>H - 52.22 Service activities incidental to water transportation</t>
  </si>
  <si>
    <t>NACE_H5222</t>
  </si>
  <si>
    <t>H - 52.23 Service activities incidental to air transportation</t>
  </si>
  <si>
    <t>NACE_H5223</t>
  </si>
  <si>
    <t>H - 52.24 Cargo handling</t>
  </si>
  <si>
    <t>NACE_H5224</t>
  </si>
  <si>
    <t>H - 52.25 Logistics service activities</t>
  </si>
  <si>
    <t>NACE_H5225</t>
  </si>
  <si>
    <t>H - 52.26 Other support activities for transportation</t>
  </si>
  <si>
    <t>NACE_H5226</t>
  </si>
  <si>
    <t>H - 52.3 Intermediation service activities for transportation</t>
  </si>
  <si>
    <t>NACE_H523</t>
  </si>
  <si>
    <t>H - 52.31 Intermediation service activities for freight transportation</t>
  </si>
  <si>
    <t>NACE_H5231</t>
  </si>
  <si>
    <t>H - 52.32 Intermediation service activities for passenger transportation</t>
  </si>
  <si>
    <t>NACE_H5232</t>
  </si>
  <si>
    <t>H - 53 Postal and courier activities</t>
  </si>
  <si>
    <t>NACE_H53</t>
  </si>
  <si>
    <t>H - 53.1 Postal activities under universal service obligation</t>
  </si>
  <si>
    <t>NACE_H531</t>
  </si>
  <si>
    <t>H - 53.10 Postal activities under universal service obligation</t>
  </si>
  <si>
    <t>NACE_H5310</t>
  </si>
  <si>
    <t>H - 53.2 Other postal and courier activities</t>
  </si>
  <si>
    <t>NACE_H532</t>
  </si>
  <si>
    <t>H - 53.20 Other postal and courier activities</t>
  </si>
  <si>
    <t>NACE_H5320</t>
  </si>
  <si>
    <t>H - 53.3 Intermediation service activities for postal and courier activities</t>
  </si>
  <si>
    <t>NACE_H533</t>
  </si>
  <si>
    <t>H - 53.30 Intermediation service activities for postal and courier activities</t>
  </si>
  <si>
    <t>NACE_H5330</t>
  </si>
  <si>
    <t>I - ACCOMMODATION AND FOOD SERVICE ACTIVITIES</t>
  </si>
  <si>
    <t>NACE_I</t>
  </si>
  <si>
    <t>I - 55 Accommodation</t>
  </si>
  <si>
    <t>NACE_I55</t>
  </si>
  <si>
    <t>I - 55.1 Hotels and similar accommodation</t>
  </si>
  <si>
    <t>NACE_I551</t>
  </si>
  <si>
    <t>I - 55.10 Hotels and similar accommodation</t>
  </si>
  <si>
    <t>NACE_I5510</t>
  </si>
  <si>
    <t>I - 55.2 Holiday and other short-stay accommodation</t>
  </si>
  <si>
    <t>NACE_I552</t>
  </si>
  <si>
    <t>I - 55.20 Holiday and other short-stay accommodation</t>
  </si>
  <si>
    <t>NACE_I5520</t>
  </si>
  <si>
    <t>I - 55.3 Camping grounds and recreational vehicle parks</t>
  </si>
  <si>
    <t>NACE_I553</t>
  </si>
  <si>
    <t>I - 55.30 Camping grounds and recreational vehicle parks</t>
  </si>
  <si>
    <t>NACE_I5530</t>
  </si>
  <si>
    <t>I - 55.4 Intermediation service activities for accommodation</t>
  </si>
  <si>
    <t>NACE_I554</t>
  </si>
  <si>
    <t>I - 55.40 Intermediation service activities for accommodation</t>
  </si>
  <si>
    <t>NACE_I5540</t>
  </si>
  <si>
    <t>I - 55.9 Other accommodation</t>
  </si>
  <si>
    <t>NACE_I559</t>
  </si>
  <si>
    <t>I - 55.90 Other accommodation</t>
  </si>
  <si>
    <t>NACE_I5590</t>
  </si>
  <si>
    <t>I - 56 Food and beverage service activities</t>
  </si>
  <si>
    <t>NACE_I56</t>
  </si>
  <si>
    <t>I - 56.1 Restaurants and mobile food service activities</t>
  </si>
  <si>
    <t>NACE_I561</t>
  </si>
  <si>
    <t>I - 56.11 Restaurant activities</t>
  </si>
  <si>
    <t>NACE_I5611</t>
  </si>
  <si>
    <t>I - 56.12 Mobile food service activities</t>
  </si>
  <si>
    <t>NACE_I5612</t>
  </si>
  <si>
    <t>I - 56.2 Event catering, contract catering service activities and other food service activities</t>
  </si>
  <si>
    <t>NACE_I562</t>
  </si>
  <si>
    <t>I - 56.21 Event catering activities</t>
  </si>
  <si>
    <t>NACE_I5621</t>
  </si>
  <si>
    <t>I - 56.22 Contract catering service activities and other food service activities</t>
  </si>
  <si>
    <t>NACE_I5622</t>
  </si>
  <si>
    <t>I - 56.3 Beverage serving activities</t>
  </si>
  <si>
    <t>NACE_I563</t>
  </si>
  <si>
    <t>I - 56.30 Beverage serving activities</t>
  </si>
  <si>
    <t>NACE_I5630</t>
  </si>
  <si>
    <t>I - 56.4 Intermediation service activities for food and beverage services activities</t>
  </si>
  <si>
    <t>NACE_I564</t>
  </si>
  <si>
    <t>I - 56.40 Intermediation service activities for food and beverage services activities</t>
  </si>
  <si>
    <t>NACE_I5640</t>
  </si>
  <si>
    <t>J - PUBLISHING, BROADCASTING, AND CONTENT PRODUCTION AND DISTRIBUTION ACTIVITIES</t>
  </si>
  <si>
    <t>NACE_J</t>
  </si>
  <si>
    <t>J - 58 Publishing activities</t>
  </si>
  <si>
    <t>NACE_J58</t>
  </si>
  <si>
    <t>J - 58.1 Publishing of books, newspapers and other publishing activities, except software publishing</t>
  </si>
  <si>
    <t>NACE_J581</t>
  </si>
  <si>
    <t>J - 58.11 Publishing of books</t>
  </si>
  <si>
    <t>NACE_J5811</t>
  </si>
  <si>
    <t>J - 58.12 Publishing of newspapers</t>
  </si>
  <si>
    <t>NACE_J5812</t>
  </si>
  <si>
    <t>J - 58.13 Publishing of journals and periodicals</t>
  </si>
  <si>
    <t>NACE_J5813</t>
  </si>
  <si>
    <t>J - 58.19 Other publishing activities, except software publishing</t>
  </si>
  <si>
    <t>NACE_J5819</t>
  </si>
  <si>
    <t>J - 58.2 Software publishing</t>
  </si>
  <si>
    <t>NACE_J582</t>
  </si>
  <si>
    <t>J - 58.21 Publishing of video games</t>
  </si>
  <si>
    <t>NACE_J5821</t>
  </si>
  <si>
    <t>J - 58.29 Other software publishing</t>
  </si>
  <si>
    <t>NACE_J5829</t>
  </si>
  <si>
    <t>J - 59 Motion picture, video and television programme production, sound recording and music publishing activities</t>
  </si>
  <si>
    <t>NACE_J59</t>
  </si>
  <si>
    <t>J - 59.1 Motion picture, video and television programme activities</t>
  </si>
  <si>
    <t>NACE_J591</t>
  </si>
  <si>
    <t>J - 59.11 Motion picture, video and television programme production activities</t>
  </si>
  <si>
    <t>NACE_J5911</t>
  </si>
  <si>
    <t>J - 59.12 Motion picture, video and television programme post-production activities</t>
  </si>
  <si>
    <t>NACE_J5912</t>
  </si>
  <si>
    <t>J - 59.13 Motion picture and video distribution activities</t>
  </si>
  <si>
    <t>NACE_J5913</t>
  </si>
  <si>
    <t>J - 59.14 Motion picture projection activities</t>
  </si>
  <si>
    <t>NACE_J5914</t>
  </si>
  <si>
    <t>J - 59.2 Sound recording and music publishing activities</t>
  </si>
  <si>
    <t>NACE_J592</t>
  </si>
  <si>
    <t>J - 59.20 Sound recording and music publishing activities</t>
  </si>
  <si>
    <t>NACE_J5920</t>
  </si>
  <si>
    <t>J - 60 Programming, broadcasting, news agency and other content distribution activities</t>
  </si>
  <si>
    <t>NACE_J60</t>
  </si>
  <si>
    <t>J - 60.1 Radio broadcasting and audio distribution activities</t>
  </si>
  <si>
    <t>NACE_J601</t>
  </si>
  <si>
    <t>J - 60.10 Radio broadcasting and audio distribution activities</t>
  </si>
  <si>
    <t>NACE_J6010</t>
  </si>
  <si>
    <t>J - 60.2 Television programming, broadcasting and video distribution activities</t>
  </si>
  <si>
    <t>NACE_J602</t>
  </si>
  <si>
    <t>J - 60.20 Television programming, broadcasting and video distribution activities</t>
  </si>
  <si>
    <t>NACE_J6020</t>
  </si>
  <si>
    <t>J - 60.3 News agency and other content distribution activities</t>
  </si>
  <si>
    <t>NACE_J603</t>
  </si>
  <si>
    <t>J - 60.31 News agency activities</t>
  </si>
  <si>
    <t>NACE_J6031</t>
  </si>
  <si>
    <t>J - 60.39 Other content distribution activities</t>
  </si>
  <si>
    <t>NACE_J6039</t>
  </si>
  <si>
    <t>K - TELECOMMUNICATION, COMPUTER PROGRAMMING, CONSULTING, COMPUTING INFRASTRUCTURE AND OTHER INFORMATION SERVICE ACTIVITIES</t>
  </si>
  <si>
    <t>NACE_K</t>
  </si>
  <si>
    <t>K - 61 Telecommunication</t>
  </si>
  <si>
    <t>NACE_K61</t>
  </si>
  <si>
    <t>K - 61.1 Wired, wireless, and satellite telecommunication activities</t>
  </si>
  <si>
    <t>NACE_K611</t>
  </si>
  <si>
    <t>K - 61.10 Wired, wireless, and satellite telecommunication activities</t>
  </si>
  <si>
    <t>NACE_K6110</t>
  </si>
  <si>
    <t>K - 61.2 Telecommunication reselling activities and intermediation service activities for telecommunication</t>
  </si>
  <si>
    <t>NACE_K612</t>
  </si>
  <si>
    <t>K - 61.20 Telecommunication reselling activities and intermediation service activities for telecommunication</t>
  </si>
  <si>
    <t>NACE_K6120</t>
  </si>
  <si>
    <t>K - 61.9 Other telecommunication activities</t>
  </si>
  <si>
    <t>NACE_K619</t>
  </si>
  <si>
    <t>K - 61.90 Other telecommunication activities</t>
  </si>
  <si>
    <t>NACE_K6190</t>
  </si>
  <si>
    <t>K - 62 Computer programming, consultancy and related activities</t>
  </si>
  <si>
    <t>NACE_K62</t>
  </si>
  <si>
    <t>K - 62.1 Computer programming activities</t>
  </si>
  <si>
    <t>NACE_K621</t>
  </si>
  <si>
    <t>K - 62.10 Computer programming activities</t>
  </si>
  <si>
    <t>NACE_K6210</t>
  </si>
  <si>
    <t>K - 62.2 Computer consultancy and computer facilities management activities</t>
  </si>
  <si>
    <t>NACE_K622</t>
  </si>
  <si>
    <t>K - 62.20 Computer consultancy and computer facilities management activities</t>
  </si>
  <si>
    <t>NACE_K6220</t>
  </si>
  <si>
    <t>K - 62.9 Other information technology and computer service activities</t>
  </si>
  <si>
    <t>NACE_K629</t>
  </si>
  <si>
    <t>K - 62.90 Other information technology and computer service activities</t>
  </si>
  <si>
    <t>NACE_K6290</t>
  </si>
  <si>
    <t>K - 63 Computing infrastructure, data processing, hosting and other information service activities</t>
  </si>
  <si>
    <t>NACE_K63</t>
  </si>
  <si>
    <t>K - 63.1 Computing infrastructure, data processing, hosting and related activities</t>
  </si>
  <si>
    <t>NACE_K631</t>
  </si>
  <si>
    <t>K - 63.10 Computing infrastructure, data processing, hosting and related activities</t>
  </si>
  <si>
    <t>NACE_K6310</t>
  </si>
  <si>
    <t>K - 63.9 Web search portal activities and other information service activities</t>
  </si>
  <si>
    <t>NACE_K639</t>
  </si>
  <si>
    <t>K - 63.91 Web search portal activities</t>
  </si>
  <si>
    <t>NACE_K6391</t>
  </si>
  <si>
    <t>K - 63.92 Other information service activities</t>
  </si>
  <si>
    <t>NACE_K6392</t>
  </si>
  <si>
    <t>L - FINANCIAL AND INSURANCE ACTIVITIES</t>
  </si>
  <si>
    <t>NACE_L</t>
  </si>
  <si>
    <t>L - 64 Financial service activities, except insurance and pension funding</t>
  </si>
  <si>
    <t>NACE_L64</t>
  </si>
  <si>
    <t>L - 64.1 Monetary intermediation</t>
  </si>
  <si>
    <t>NACE_L641</t>
  </si>
  <si>
    <t>L - 64.11 Central banking</t>
  </si>
  <si>
    <t>NACE_L6411</t>
  </si>
  <si>
    <t>L - 64.19 Other monetary intermediation</t>
  </si>
  <si>
    <t>NACE_L6419</t>
  </si>
  <si>
    <t>L - 64.2 Activities of holding companies and financing conduits</t>
  </si>
  <si>
    <t>NACE_L642</t>
  </si>
  <si>
    <t>L - 64.21 Activities of holding companies</t>
  </si>
  <si>
    <t>NACE_L6421</t>
  </si>
  <si>
    <t>L - 64.22 Activities of financing conduits</t>
  </si>
  <si>
    <t>NACE_L6422</t>
  </si>
  <si>
    <t>L - 64.3 Activities of trusts, funds and similar financial entities</t>
  </si>
  <si>
    <t>NACE_L643</t>
  </si>
  <si>
    <t>L - 64.31 Activities of money market and non-money market investments funds</t>
  </si>
  <si>
    <t>NACE_L6431</t>
  </si>
  <si>
    <t>L - 64.32 Activities of trust, estate and agency accounts</t>
  </si>
  <si>
    <t>NACE_L6432</t>
  </si>
  <si>
    <t>L - 64.9 Other financial service activities, except insurance and pension funding</t>
  </si>
  <si>
    <t>NACE_L649</t>
  </si>
  <si>
    <t>L - 64.91 Financial leasing</t>
  </si>
  <si>
    <t>NACE_L6491</t>
  </si>
  <si>
    <t>L - 64.92 Other credit granting</t>
  </si>
  <si>
    <t>NACE_L6492</t>
  </si>
  <si>
    <t>L - 64.99 Other financial service activities, except insurance and pension funding n.e.c.</t>
  </si>
  <si>
    <t>NACE_L6499</t>
  </si>
  <si>
    <t>L - 65 Insurance, reinsurance and pension funding, except compulsory social security</t>
  </si>
  <si>
    <t>NACE_L65</t>
  </si>
  <si>
    <t>L - 65.1 Insurance</t>
  </si>
  <si>
    <t>NACE_L651</t>
  </si>
  <si>
    <t>L - 65.11 Life insurance</t>
  </si>
  <si>
    <t>NACE_L6511</t>
  </si>
  <si>
    <t>L - 65.12 Non-life insurance</t>
  </si>
  <si>
    <t>NACE_L6512</t>
  </si>
  <si>
    <t>L - 65.2 Reinsurance</t>
  </si>
  <si>
    <t>NACE_L652</t>
  </si>
  <si>
    <t>L - 65.20 Reinsurance</t>
  </si>
  <si>
    <t>NACE_L6520</t>
  </si>
  <si>
    <t>L - 65.3 Pension funding</t>
  </si>
  <si>
    <t>NACE_L653</t>
  </si>
  <si>
    <t>L - 65.30 Pension funding</t>
  </si>
  <si>
    <t>NACE_L6530</t>
  </si>
  <si>
    <t>L - 66 Activities auxiliary to financial services and insurance activities</t>
  </si>
  <si>
    <t>NACE_L66</t>
  </si>
  <si>
    <t>L - 66.1 Activities auxiliary to financial services, except insurance and pension funding</t>
  </si>
  <si>
    <t>NACE_L661</t>
  </si>
  <si>
    <t>L - 66.11 Administration of financial markets</t>
  </si>
  <si>
    <t>NACE_L6611</t>
  </si>
  <si>
    <t>L - 66.12 Security and commodity contracts brokerage</t>
  </si>
  <si>
    <t>NACE_L6612</t>
  </si>
  <si>
    <t>L - 66.19 Other activities auxiliary to financial services, except insurance and pension funding</t>
  </si>
  <si>
    <t>NACE_L6619</t>
  </si>
  <si>
    <t>L - 66.2 Activities auxiliary to insurance and pension funding</t>
  </si>
  <si>
    <t>NACE_L662</t>
  </si>
  <si>
    <t>L - 66.21 Risk and damage evaluation</t>
  </si>
  <si>
    <t>NACE_L6621</t>
  </si>
  <si>
    <t>L - 66.22 Activities of insurance agents and brokers</t>
  </si>
  <si>
    <t>NACE_L6622</t>
  </si>
  <si>
    <t>L - 66.29 Activities auxiliary to insurance and pension funding n.e.c.</t>
  </si>
  <si>
    <t>NACE_L6629</t>
  </si>
  <si>
    <t>L - 66.3 Fund management activities</t>
  </si>
  <si>
    <t>NACE_L663</t>
  </si>
  <si>
    <t>L - 66.30 Fund management activities</t>
  </si>
  <si>
    <t>NACE_L6630</t>
  </si>
  <si>
    <t>M - REAL ESTATE ACTIVITIES</t>
  </si>
  <si>
    <t>NACE_M</t>
  </si>
  <si>
    <t>M - 68 Real estate activities</t>
  </si>
  <si>
    <t>NACE_M68</t>
  </si>
  <si>
    <t>M - 68.1 Real estate activities with own property and development of building projects</t>
  </si>
  <si>
    <t>NACE_M681</t>
  </si>
  <si>
    <t>M - 68.11 Buying and selling of own real estate</t>
  </si>
  <si>
    <t>NACE_M6811</t>
  </si>
  <si>
    <t>M - 68.12 Development of building projects</t>
  </si>
  <si>
    <t>NACE_M6812</t>
  </si>
  <si>
    <t>M - 68.2 Rental and operating of own or leased real estate</t>
  </si>
  <si>
    <t>NACE_M682</t>
  </si>
  <si>
    <t>M - 68.20 Rental and operating of own or leased real estate</t>
  </si>
  <si>
    <t>NACE_M6820</t>
  </si>
  <si>
    <t>M - 68.3 Real estate activities on a fee or contract basis</t>
  </si>
  <si>
    <t>NACE_M683</t>
  </si>
  <si>
    <t>M - 68.31 Intermediation service activities for real estate activities</t>
  </si>
  <si>
    <t>NACE_M6831</t>
  </si>
  <si>
    <t>M - 68.32 Other real estate activities on a fee or contract basis</t>
  </si>
  <si>
    <t>NACE_M6832</t>
  </si>
  <si>
    <t>N - PROFESSIONAL, SCIENTIFIC AND TECHNICAL ACTIVITIES</t>
  </si>
  <si>
    <t>NACE_N</t>
  </si>
  <si>
    <t>N - 69 Legal and accounting activities</t>
  </si>
  <si>
    <t>NACE_N69</t>
  </si>
  <si>
    <t>N - 69.1 Legal activities</t>
  </si>
  <si>
    <t>NACE_N691</t>
  </si>
  <si>
    <t>N - 69.10 Legal activities</t>
  </si>
  <si>
    <t>NACE_N6910</t>
  </si>
  <si>
    <t>N - 69.2 Accounting, bookkeeping and auditing activities; tax consultancy</t>
  </si>
  <si>
    <t>NACE_N692</t>
  </si>
  <si>
    <t>N - 69.20 Accounting, bookkeeping and auditing activities; tax consultancy</t>
  </si>
  <si>
    <t>NACE_N6920</t>
  </si>
  <si>
    <t>N - 70 Activities of head offices and management consultancy</t>
  </si>
  <si>
    <t>NACE_N70</t>
  </si>
  <si>
    <t>N - 70.1 Activities of head offices</t>
  </si>
  <si>
    <t>NACE_N701</t>
  </si>
  <si>
    <t>N - 70.10 Activities of head offices</t>
  </si>
  <si>
    <t>NACE_N7010</t>
  </si>
  <si>
    <t>N - 70.2 Business and other management consultancy activities</t>
  </si>
  <si>
    <t>NACE_N702</t>
  </si>
  <si>
    <t>N - 70.20 Business and other management consultancy activities</t>
  </si>
  <si>
    <t>NACE_N7020</t>
  </si>
  <si>
    <t>N - 71 Architectural and engineering activities; technical testing and analysis</t>
  </si>
  <si>
    <t>NACE_N71</t>
  </si>
  <si>
    <t>N - 71.1 Architectural and engineering activities and related technical consultancy</t>
  </si>
  <si>
    <t>NACE_N711</t>
  </si>
  <si>
    <t>N - 71.11 Architectural activities</t>
  </si>
  <si>
    <t>NACE_N7111</t>
  </si>
  <si>
    <t>N - 71.12 Engineering activities and related technical consultancy</t>
  </si>
  <si>
    <t>NACE_N7112</t>
  </si>
  <si>
    <t>N - 71.2 Technical testing and analysis</t>
  </si>
  <si>
    <t>NACE_N712</t>
  </si>
  <si>
    <t>N - 71.20 Technical testing and analysis</t>
  </si>
  <si>
    <t>NACE_N7120</t>
  </si>
  <si>
    <t>N - 72 Scientific research and development</t>
  </si>
  <si>
    <t>NACE_N72</t>
  </si>
  <si>
    <t>N - 72.1 Research and experimental development on natural sciences and engineering</t>
  </si>
  <si>
    <t>NACE_N721</t>
  </si>
  <si>
    <t>N - 72.10 Research and experimental development on natural sciences and engineering</t>
  </si>
  <si>
    <t>NACE_N7210</t>
  </si>
  <si>
    <t>N - 72.2 Research and experimental development on social sciences and humanities</t>
  </si>
  <si>
    <t>NACE_N722</t>
  </si>
  <si>
    <t>N - 72.20 Research and experimental development on social sciences and humanities</t>
  </si>
  <si>
    <t>NACE_N7220</t>
  </si>
  <si>
    <t>N - 73 Activities of advertising, market research and public relations</t>
  </si>
  <si>
    <t>NACE_N73</t>
  </si>
  <si>
    <t>N - 73.1 Advertising</t>
  </si>
  <si>
    <t>NACE_N731</t>
  </si>
  <si>
    <t>N - 73.11 Activities of advertising agencies</t>
  </si>
  <si>
    <t>NACE_N7311</t>
  </si>
  <si>
    <t>N - 73.12 Media representation</t>
  </si>
  <si>
    <t>NACE_N7312</t>
  </si>
  <si>
    <t>N - 73.2 Market research and public opinion polling</t>
  </si>
  <si>
    <t>NACE_N732</t>
  </si>
  <si>
    <t>N - 73.20 Market research and public opinion polling</t>
  </si>
  <si>
    <t>NACE_N7320</t>
  </si>
  <si>
    <t>N - 73.3 Public relations and communication activities</t>
  </si>
  <si>
    <t>NACE_N733</t>
  </si>
  <si>
    <t>N - 73.30 Public relations and communication activities</t>
  </si>
  <si>
    <t>NACE_N7330</t>
  </si>
  <si>
    <t>N - 74 Other professional, scientific and technical activities</t>
  </si>
  <si>
    <t>NACE_N74</t>
  </si>
  <si>
    <t>N - 74.1 Specialised design activities</t>
  </si>
  <si>
    <t>NACE_N741</t>
  </si>
  <si>
    <t>N - 74.11 Industrial product and fashion design activities</t>
  </si>
  <si>
    <t>NACE_N7411</t>
  </si>
  <si>
    <t>N - 74.12 Graphic design and visual communication activities</t>
  </si>
  <si>
    <t>NACE_N7412</t>
  </si>
  <si>
    <t>N - 74.13 Interior design activities</t>
  </si>
  <si>
    <t>NACE_N7413</t>
  </si>
  <si>
    <t>N - 74.14 Other specialised design activities</t>
  </si>
  <si>
    <t>NACE_N7414</t>
  </si>
  <si>
    <t>N - 74.2 Photographic activities</t>
  </si>
  <si>
    <t>NACE_N742</t>
  </si>
  <si>
    <t>N - 74.20 Photographic activities</t>
  </si>
  <si>
    <t>NACE_N7420</t>
  </si>
  <si>
    <t>N - 74.3 Translation and interpretation activities</t>
  </si>
  <si>
    <t>NACE_N743</t>
  </si>
  <si>
    <t>N - 74.30 Translation and interpretation activities</t>
  </si>
  <si>
    <t>NACE_N7430</t>
  </si>
  <si>
    <t>N - 74.9 Other professional, scientific and technical activities n.e.c.</t>
  </si>
  <si>
    <t>NACE_N749</t>
  </si>
  <si>
    <t>N - 74.91 Patent brokering and marketing service activities</t>
  </si>
  <si>
    <t>NACE_N7491</t>
  </si>
  <si>
    <t>N - 74.99 All other professional, scientific and technical activities n.e.c.</t>
  </si>
  <si>
    <t>NACE_N7499</t>
  </si>
  <si>
    <t>N - 75 Veterinary activities</t>
  </si>
  <si>
    <t>NACE_N75</t>
  </si>
  <si>
    <t>N - 75.0 Veterinary activities</t>
  </si>
  <si>
    <t>NACE_N750</t>
  </si>
  <si>
    <t>N - 75.00 Veterinary activities</t>
  </si>
  <si>
    <t>NACE_N7500</t>
  </si>
  <si>
    <t>O - ADMINISTRATIVE AND SUPPORT SERVICE ACTIVITIES</t>
  </si>
  <si>
    <t>NACE_O</t>
  </si>
  <si>
    <t>O - 77 Rental and leasing activities</t>
  </si>
  <si>
    <t>NACE_O77</t>
  </si>
  <si>
    <t>O - 77.1 Rental and leasing of motor vehicles</t>
  </si>
  <si>
    <t>NACE_O771</t>
  </si>
  <si>
    <t>O - 77.11 Rental and leasing of cars and light motor vehicles</t>
  </si>
  <si>
    <t>NACE_O7711</t>
  </si>
  <si>
    <t>O - 77.12 Rental and leasing of trucks</t>
  </si>
  <si>
    <t>NACE_O7712</t>
  </si>
  <si>
    <t>O - 77.2 Rental and leasing of personal and household goods</t>
  </si>
  <si>
    <t>NACE_O772</t>
  </si>
  <si>
    <t>O - 77.21 Rental and leasing of recreational and sports goods</t>
  </si>
  <si>
    <t>NACE_O7721</t>
  </si>
  <si>
    <t>O - 77.22 Rental and leasing of other personal and household goods</t>
  </si>
  <si>
    <t>NACE_O7722</t>
  </si>
  <si>
    <t>O - 77.3 Rental and leasing of other machinery, equipment and tangible goods</t>
  </si>
  <si>
    <t>NACE_O773</t>
  </si>
  <si>
    <t>O - 77.31 Rental and leasing of agricultural machinery and equipment</t>
  </si>
  <si>
    <t>NACE_O7731</t>
  </si>
  <si>
    <t>O - 77.32 Rental and leasing of construction and civil engineering machinery and equipment</t>
  </si>
  <si>
    <t>NACE_O7732</t>
  </si>
  <si>
    <t>O - 77.33 Rental and leasing of office machinery, equipment and computers</t>
  </si>
  <si>
    <t>NACE_O7733</t>
  </si>
  <si>
    <t>O - 77.34 Rental and leasing of water transport equipment</t>
  </si>
  <si>
    <t>NACE_O7734</t>
  </si>
  <si>
    <t>O - 77.35 Rental and leasing of air transport equipment</t>
  </si>
  <si>
    <t>NACE_O7735</t>
  </si>
  <si>
    <t>O - 77.39 Rental and leasing of other machinery, equipment and tangible goods n.e.c.</t>
  </si>
  <si>
    <t>NACE_O7739</t>
  </si>
  <si>
    <t>O - 77.4 Leasing of intellectual property and similar products, except copyrighted works</t>
  </si>
  <si>
    <t>NACE_O774</t>
  </si>
  <si>
    <t>O - 77.40 Leasing of intellectual property and similar products, except copyrighted works</t>
  </si>
  <si>
    <t>NACE_O7740</t>
  </si>
  <si>
    <t>O - 77.5 Intermediation service activities for rental and leasing of tangible goods and non-financial intangible assets</t>
  </si>
  <si>
    <t>NACE_O775</t>
  </si>
  <si>
    <t>O - 77.51 Intermediation service activities for rental and leasing of cars, motorhomes and trailers</t>
  </si>
  <si>
    <t>NACE_O7751</t>
  </si>
  <si>
    <t>O - 77.52 Intermediation service activities for rental and leasing of other tangible goods and non-financial intangible assets</t>
  </si>
  <si>
    <t>NACE_O7752</t>
  </si>
  <si>
    <t>O - 78 Employment activities</t>
  </si>
  <si>
    <t>NACE_O78</t>
  </si>
  <si>
    <t>O - 78.1 Activities of employment placement agencies</t>
  </si>
  <si>
    <t>NACE_O781</t>
  </si>
  <si>
    <t>O - 78.10 Activities of employment placement agencies</t>
  </si>
  <si>
    <t>NACE_O7810</t>
  </si>
  <si>
    <t>O - 78.2 Temporary employment agency activities and other human resource provisions</t>
  </si>
  <si>
    <t>NACE_O782</t>
  </si>
  <si>
    <t>O - 78.20 Temporary employment agency activities and other human resource provisions</t>
  </si>
  <si>
    <t>NACE_O7820</t>
  </si>
  <si>
    <t>O - 79 Travel agency, tour operator and other reservation service and related activities</t>
  </si>
  <si>
    <t>NACE_O79</t>
  </si>
  <si>
    <t>O - 79.1 Travel agency and tour operator activities</t>
  </si>
  <si>
    <t>NACE_O791</t>
  </si>
  <si>
    <t>O - 79.11 Travel agency activities</t>
  </si>
  <si>
    <t>NACE_O7911</t>
  </si>
  <si>
    <t>O - 79.12 Tour operator activities</t>
  </si>
  <si>
    <t>NACE_O7912</t>
  </si>
  <si>
    <t>O - 79.9 Other reservation service and related activities</t>
  </si>
  <si>
    <t>NACE_O799</t>
  </si>
  <si>
    <t>O - 79.90 Other reservation service and related activities</t>
  </si>
  <si>
    <t>NACE_O7990</t>
  </si>
  <si>
    <t>O - 80 Investigation and security activities</t>
  </si>
  <si>
    <t>NACE_O80</t>
  </si>
  <si>
    <t>O - 80.0 Investigation and security activities</t>
  </si>
  <si>
    <t>NACE_O800</t>
  </si>
  <si>
    <t>O - 80.01 Investigation and private security activities</t>
  </si>
  <si>
    <t>NACE_O8001</t>
  </si>
  <si>
    <t>O - 80.09 Security activities n.e.c.</t>
  </si>
  <si>
    <t>NACE_O8009</t>
  </si>
  <si>
    <t>O - 81 Services to buildings and landscape activities</t>
  </si>
  <si>
    <t>NACE_O81</t>
  </si>
  <si>
    <t>O - 81.1 Combined facilities support activities</t>
  </si>
  <si>
    <t>NACE_O811</t>
  </si>
  <si>
    <t>O - 81.10 Combined facilities support activities</t>
  </si>
  <si>
    <t>NACE_O8110</t>
  </si>
  <si>
    <t>O - 81.2 Cleaning activities</t>
  </si>
  <si>
    <t>NACE_O812</t>
  </si>
  <si>
    <t>O - 81.21 General cleaning of buildings</t>
  </si>
  <si>
    <t>NACE_O8121</t>
  </si>
  <si>
    <t>O - 81.22 Other building and industrial cleaning activities</t>
  </si>
  <si>
    <t>NACE_O8122</t>
  </si>
  <si>
    <t>O - 81.23 Other cleaning activities</t>
  </si>
  <si>
    <t>NACE_O8123</t>
  </si>
  <si>
    <t>O - 81.3 Landscape service activities</t>
  </si>
  <si>
    <t>NACE_O813</t>
  </si>
  <si>
    <t>O - 81.30 Landscape service activities</t>
  </si>
  <si>
    <t>NACE_O8130</t>
  </si>
  <si>
    <t>O - 82 Office administrative, office support and other business support activities</t>
  </si>
  <si>
    <t>NACE_O82</t>
  </si>
  <si>
    <t>O - 82.1 Office administrative and support activities</t>
  </si>
  <si>
    <t>NACE_O821</t>
  </si>
  <si>
    <t>O - 82.10 Office administrative and support activities</t>
  </si>
  <si>
    <t>NACE_O8210</t>
  </si>
  <si>
    <t>O - 82.2 Activities of call centres</t>
  </si>
  <si>
    <t>NACE_O822</t>
  </si>
  <si>
    <t>O - 82.20 Activities of call centres</t>
  </si>
  <si>
    <t>NACE_O8220</t>
  </si>
  <si>
    <t>O - 82.3 Organisation of conventions and trade shows</t>
  </si>
  <si>
    <t>NACE_O823</t>
  </si>
  <si>
    <t>O - 82.30 Organisation of conventions and trade shows</t>
  </si>
  <si>
    <t>NACE_O8230</t>
  </si>
  <si>
    <t>O - 82.4 Intermediation service activities for business support service activities n.e.c.</t>
  </si>
  <si>
    <t>NACE_O824</t>
  </si>
  <si>
    <t>O - 82.40 Intermediation service activities for business support service activities n.e.c.</t>
  </si>
  <si>
    <t>NACE_O8240</t>
  </si>
  <si>
    <t>O - 82.9 Business support service activities n.e.c.</t>
  </si>
  <si>
    <t>NACE_O829</t>
  </si>
  <si>
    <t>O - 82.91 Activities of collection agencies and credit bureaus</t>
  </si>
  <si>
    <t>NACE_O8291</t>
  </si>
  <si>
    <t>O - 82.92 Packaging activities</t>
  </si>
  <si>
    <t>NACE_O8292</t>
  </si>
  <si>
    <t>O - 82.99 Other business support service activities n.e.c.</t>
  </si>
  <si>
    <t>NACE_O8299</t>
  </si>
  <si>
    <t>P - PUBLIC ADMINISTRATION AND DEFENCE; COMPULSORY SOCIAL SECURITY</t>
  </si>
  <si>
    <t>NACE_P</t>
  </si>
  <si>
    <t>P - 84 Public administration and defence; compulsory social security</t>
  </si>
  <si>
    <t>NACE_P84</t>
  </si>
  <si>
    <t>P - 84.1 Administration of the State and the economic, social and environmental policies of the community</t>
  </si>
  <si>
    <t>NACE_P841</t>
  </si>
  <si>
    <t>P - 84.11 General public administration activities</t>
  </si>
  <si>
    <t>NACE_P8411</t>
  </si>
  <si>
    <t>P - 84.12 Regulation of health care, education, cultural services and other social services</t>
  </si>
  <si>
    <t>NACE_P8412</t>
  </si>
  <si>
    <t>P - 84.13 Regulation of and contribution to more efficient operation of businesses</t>
  </si>
  <si>
    <t>NACE_P8413</t>
  </si>
  <si>
    <t>P - 84.2 Provision of services to the community as a whole</t>
  </si>
  <si>
    <t>NACE_P842</t>
  </si>
  <si>
    <t>P - 84.21 Foreign affairs</t>
  </si>
  <si>
    <t>NACE_P8421</t>
  </si>
  <si>
    <t>P - 84.22 Defence activities</t>
  </si>
  <si>
    <t>NACE_P8422</t>
  </si>
  <si>
    <t>P - 84.23 Justice and judicial activities</t>
  </si>
  <si>
    <t>NACE_P8423</t>
  </si>
  <si>
    <t>P - 84.24 Public order and safety activities</t>
  </si>
  <si>
    <t>NACE_P8424</t>
  </si>
  <si>
    <t>P - 84.25 Fire service activities</t>
  </si>
  <si>
    <t>NACE_P8425</t>
  </si>
  <si>
    <t>P - 84.3 Compulsory social security activities</t>
  </si>
  <si>
    <t>NACE_P843</t>
  </si>
  <si>
    <t>P - 84.30 Compulsory social security activities</t>
  </si>
  <si>
    <t>NACE_P8430</t>
  </si>
  <si>
    <t>Q - EDUCATION</t>
  </si>
  <si>
    <t>NACE_Q</t>
  </si>
  <si>
    <t>Q - 85 Education</t>
  </si>
  <si>
    <t>NACE_Q85</t>
  </si>
  <si>
    <t>Q - 85.1 Pre-primary education</t>
  </si>
  <si>
    <t>NACE_Q851</t>
  </si>
  <si>
    <t>Q - 85.10 Pre-primary education</t>
  </si>
  <si>
    <t>NACE_Q8510</t>
  </si>
  <si>
    <t>Q - 85.2 Primary education</t>
  </si>
  <si>
    <t>NACE_Q852</t>
  </si>
  <si>
    <t>Q - 85.20 Primary education</t>
  </si>
  <si>
    <t>NACE_Q8520</t>
  </si>
  <si>
    <t>Q - 85.3 Secondary and post-secondary non-tertiary education</t>
  </si>
  <si>
    <t>NACE_Q853</t>
  </si>
  <si>
    <t>Q - 85.31 General secondary education</t>
  </si>
  <si>
    <t>NACE_Q8531</t>
  </si>
  <si>
    <t>Q - 85.32 Vocational secondary education</t>
  </si>
  <si>
    <t>NACE_Q8532</t>
  </si>
  <si>
    <t>Q - 85.33 Post-secondary non-tertiary education</t>
  </si>
  <si>
    <t>NACE_Q8533</t>
  </si>
  <si>
    <t>Q - 85.4 Tertiary education</t>
  </si>
  <si>
    <t>NACE_Q854</t>
  </si>
  <si>
    <t>Q - 85.40 Tertiary education</t>
  </si>
  <si>
    <t>NACE_Q8540</t>
  </si>
  <si>
    <t>Q - 85.5 Other education</t>
  </si>
  <si>
    <t>NACE_Q855</t>
  </si>
  <si>
    <t>Q - 85.51 Sports and recreation education</t>
  </si>
  <si>
    <t>NACE_Q8551</t>
  </si>
  <si>
    <t>Q - 85.52 Cultural education</t>
  </si>
  <si>
    <t>NACE_Q8552</t>
  </si>
  <si>
    <t>Q - 85.53 Driving school activities</t>
  </si>
  <si>
    <t>NACE_Q8553</t>
  </si>
  <si>
    <t>Q - 85.59 Other education n.e.c.</t>
  </si>
  <si>
    <t>NACE_Q8559</t>
  </si>
  <si>
    <t>Q - 85.6 Educational support activities</t>
  </si>
  <si>
    <t>NACE_Q856</t>
  </si>
  <si>
    <t>Q - 85.61 Intermediation service activities for courses and tutors</t>
  </si>
  <si>
    <t>NACE_Q8561</t>
  </si>
  <si>
    <t>Q - 85.69 Educational support activities n.e.c.</t>
  </si>
  <si>
    <t>NACE_Q8569</t>
  </si>
  <si>
    <t>R - HUMAN HEALTH AND SOCIAL WORK ACTIVITIES</t>
  </si>
  <si>
    <t>NACE_R</t>
  </si>
  <si>
    <t>R - 86 Human health activities</t>
  </si>
  <si>
    <t>NACE_R86</t>
  </si>
  <si>
    <t>R - 86.1 Hospital activities</t>
  </si>
  <si>
    <t>NACE_R861</t>
  </si>
  <si>
    <t>R - 86.10 Hospital activities</t>
  </si>
  <si>
    <t>NACE_R8610</t>
  </si>
  <si>
    <t>R - 86.2 Medical and dental practice activities</t>
  </si>
  <si>
    <t>NACE_R862</t>
  </si>
  <si>
    <t>R - 86.21 General medical practice activities</t>
  </si>
  <si>
    <t>NACE_R8621</t>
  </si>
  <si>
    <t>R - 86.22 Medical specialists activities</t>
  </si>
  <si>
    <t>NACE_R8622</t>
  </si>
  <si>
    <t>R - 86.23 Dental practice care activities</t>
  </si>
  <si>
    <t>NACE_R8623</t>
  </si>
  <si>
    <t>R - 86.9 Other human health activities</t>
  </si>
  <si>
    <t>NACE_R869</t>
  </si>
  <si>
    <t>R - 86.91 Diagnostic imaging services and medical laboratory activities</t>
  </si>
  <si>
    <t>NACE_R8691</t>
  </si>
  <si>
    <t>R - 86.92 Patient transportation by ambulance</t>
  </si>
  <si>
    <t>NACE_R8692</t>
  </si>
  <si>
    <t>R - 86.93 Activities of psychologists and psychotherapists, except medical doctors</t>
  </si>
  <si>
    <t>NACE_R8693</t>
  </si>
  <si>
    <t>R - 86.94 Nursing and midwifery activities</t>
  </si>
  <si>
    <t>NACE_R8694</t>
  </si>
  <si>
    <t>R - 86.95 Physiotherapy activities</t>
  </si>
  <si>
    <t>NACE_R8695</t>
  </si>
  <si>
    <t>R - 86.96 Traditional, complementary and alternative medicine activities</t>
  </si>
  <si>
    <t>NACE_R8696</t>
  </si>
  <si>
    <t>R - 86.97 Intermediation service activities for medical, dental and other human health services</t>
  </si>
  <si>
    <t>NACE_R8697</t>
  </si>
  <si>
    <t>R - 86.99 Other human health activities n.e.c.</t>
  </si>
  <si>
    <t>NACE_R8699</t>
  </si>
  <si>
    <t>R - 87 Residential care activities</t>
  </si>
  <si>
    <t>NACE_R87</t>
  </si>
  <si>
    <t>R - 87.1 Residential nursing care activities</t>
  </si>
  <si>
    <t>NACE_R871</t>
  </si>
  <si>
    <t>R - 87.10 Residential nursing care activities</t>
  </si>
  <si>
    <t>NACE_R8710</t>
  </si>
  <si>
    <t>R - 87.2 Residential care activities for persons living with or having a diagnosis of a mental illness or substance abuse</t>
  </si>
  <si>
    <t>NACE_R872</t>
  </si>
  <si>
    <t>R - 87.20 Residential care activities for persons living with or having a diagnosis of a mental illness or substance abuse</t>
  </si>
  <si>
    <t>NACE_R8720</t>
  </si>
  <si>
    <t>R - 87.3 Residential care activities for older persons or persons with physical disabilities</t>
  </si>
  <si>
    <t>NACE_R873</t>
  </si>
  <si>
    <t>R - 87.30 Residential care activities for older persons or persons with physical disabilities</t>
  </si>
  <si>
    <t>NACE_R8730</t>
  </si>
  <si>
    <t>R - 87.9 Other residential care activities</t>
  </si>
  <si>
    <t>NACE_R879</t>
  </si>
  <si>
    <t>R - 87.91 Intermediation service activities for residential care activities</t>
  </si>
  <si>
    <t>NACE_R8791</t>
  </si>
  <si>
    <t>R - 87.99 Other residential care activities n.e.c.</t>
  </si>
  <si>
    <t>NACE_R8799</t>
  </si>
  <si>
    <t>R - 88 Social work activities without accommodation</t>
  </si>
  <si>
    <t>NACE_R88</t>
  </si>
  <si>
    <t>R - 88.1 Social work activities without accommodation for older persons or persons with disabilities</t>
  </si>
  <si>
    <t>NACE_R881</t>
  </si>
  <si>
    <t>R - 88.10 Social work activities without accommodation for older persons or persons with disabilities</t>
  </si>
  <si>
    <t>NACE_R8810</t>
  </si>
  <si>
    <t>R - 88.9 Other social work activities without accommodation</t>
  </si>
  <si>
    <t>NACE_R889</t>
  </si>
  <si>
    <t>R - 88.91 Child day-care activities</t>
  </si>
  <si>
    <t>NACE_R8891</t>
  </si>
  <si>
    <t>R - 88.99 Other social work activities without accommodation n.e.c.</t>
  </si>
  <si>
    <t>NACE_R8899</t>
  </si>
  <si>
    <t>S - ARTS, SPORTS AND RECREATION</t>
  </si>
  <si>
    <t>NACE_S</t>
  </si>
  <si>
    <t>S - 90 Arts creation and performing arts activities</t>
  </si>
  <si>
    <t>NACE_S90</t>
  </si>
  <si>
    <t>S - 90.1 Arts creation activities</t>
  </si>
  <si>
    <t>NACE_S901</t>
  </si>
  <si>
    <t>S - 90.11 Literary creation and musical composition activities</t>
  </si>
  <si>
    <t>NACE_S9011</t>
  </si>
  <si>
    <t>S - 90.12 Visual arts creation activities</t>
  </si>
  <si>
    <t>NACE_S9012</t>
  </si>
  <si>
    <t>S - 90.13 Other arts creation activities</t>
  </si>
  <si>
    <t>NACE_S9013</t>
  </si>
  <si>
    <t>S - 90.2 Activities of performing arts</t>
  </si>
  <si>
    <t>NACE_S902</t>
  </si>
  <si>
    <t>S - 90.20 Activities of performing arts</t>
  </si>
  <si>
    <t>NACE_S9020</t>
  </si>
  <si>
    <t>S - 90.3 Support activities to arts creation and performing arts</t>
  </si>
  <si>
    <t>NACE_S903</t>
  </si>
  <si>
    <t>S - 90.31 Operation of arts facilities and sites</t>
  </si>
  <si>
    <t>NACE_S9031</t>
  </si>
  <si>
    <t>S - 90.39 Other support activities to arts and performing arts</t>
  </si>
  <si>
    <t>NACE_S9039</t>
  </si>
  <si>
    <t>S - 91 Libraries, archives, museums and other cultural activities</t>
  </si>
  <si>
    <t>NACE_S91</t>
  </si>
  <si>
    <t>S - 91.1 Library and archive activities</t>
  </si>
  <si>
    <t>NACE_S911</t>
  </si>
  <si>
    <t>S - 91.11 Library activities</t>
  </si>
  <si>
    <t>NACE_S9111</t>
  </si>
  <si>
    <t>S - 91.12 Archive activities</t>
  </si>
  <si>
    <t>NACE_S9112</t>
  </si>
  <si>
    <t>S - 91.2 Museum, collection, historical site and monument activities</t>
  </si>
  <si>
    <t>NACE_S912</t>
  </si>
  <si>
    <t>S - 91.21 Museum and collection activities</t>
  </si>
  <si>
    <t>NACE_S9121</t>
  </si>
  <si>
    <t>S - 91.22 Historical site and monument activities</t>
  </si>
  <si>
    <t>NACE_S9122</t>
  </si>
  <si>
    <t>S - 91.3 Conservation, restoration and other support activities for cultural heritage</t>
  </si>
  <si>
    <t>NACE_S913</t>
  </si>
  <si>
    <t>S - 91.30 Conservation, restoration and other support activities for cultural heritage</t>
  </si>
  <si>
    <t>NACE_S9130</t>
  </si>
  <si>
    <t>S - 91.4 Botanical and zoological garden and nature reserve activities</t>
  </si>
  <si>
    <t>NACE_S914</t>
  </si>
  <si>
    <t>S - 91.41 Botanical and zoological garden activities</t>
  </si>
  <si>
    <t>NACE_S9141</t>
  </si>
  <si>
    <t>S - 91.42 Nature reserve activities</t>
  </si>
  <si>
    <t>NACE_S9142</t>
  </si>
  <si>
    <t>S - 92 Gambling and betting activities</t>
  </si>
  <si>
    <t>NACE_S92</t>
  </si>
  <si>
    <t>S - 92.0 Gambling and betting activities</t>
  </si>
  <si>
    <t>NACE_S920</t>
  </si>
  <si>
    <t>S - 92.00 Gambling and betting activities</t>
  </si>
  <si>
    <t>NACE_S9200</t>
  </si>
  <si>
    <t>S - 93 Sports activities and amusement and recreation activities</t>
  </si>
  <si>
    <t>NACE_S93</t>
  </si>
  <si>
    <t>S - 93.1 Sports activities</t>
  </si>
  <si>
    <t>NACE_S931</t>
  </si>
  <si>
    <t>S - 93.11 Operation of sports facilities</t>
  </si>
  <si>
    <t>NACE_S9311</t>
  </si>
  <si>
    <t>S - 93.12 Activities of sports clubs</t>
  </si>
  <si>
    <t>NACE_S9312</t>
  </si>
  <si>
    <t>S - 93.13 Activities of fitness centres</t>
  </si>
  <si>
    <t>NACE_S9313</t>
  </si>
  <si>
    <t>S - 93.19 Sports activities n.e.c.</t>
  </si>
  <si>
    <t>NACE_S9319</t>
  </si>
  <si>
    <t>S - 93.2 Amusement and recreation activities</t>
  </si>
  <si>
    <t>NACE_S932</t>
  </si>
  <si>
    <t>S - 93.21 Activities of amusement parks and theme parks</t>
  </si>
  <si>
    <t>NACE_S9321</t>
  </si>
  <si>
    <t>S - 93.29 Amusement and recreation activities n.e.c.</t>
  </si>
  <si>
    <t>NACE_S9329</t>
  </si>
  <si>
    <t>T - OTHER SERVICE ACTIVITIES</t>
  </si>
  <si>
    <t>NACE_T</t>
  </si>
  <si>
    <t>T - 94 Activities of membership organisations</t>
  </si>
  <si>
    <t>NACE_T94</t>
  </si>
  <si>
    <t>T - 94.1 Activities of business, employers and professional membership organisations</t>
  </si>
  <si>
    <t>NACE_T941</t>
  </si>
  <si>
    <t>T - 94.11 Activities of business and employers membership organisations</t>
  </si>
  <si>
    <t>NACE_T9411</t>
  </si>
  <si>
    <t>T - 94.12 Activities of professional membership organisations</t>
  </si>
  <si>
    <t>NACE_T9412</t>
  </si>
  <si>
    <t>T - 94.2 Activities of trade unions</t>
  </si>
  <si>
    <t>NACE_T942</t>
  </si>
  <si>
    <t>T - 94.20 Activities of trade unions</t>
  </si>
  <si>
    <t>NACE_T9420</t>
  </si>
  <si>
    <t>T - 94.9 Activities of other membership organisations</t>
  </si>
  <si>
    <t>NACE_T949</t>
  </si>
  <si>
    <t>T - 94.91 Activities of religious organisations</t>
  </si>
  <si>
    <t>NACE_T9491</t>
  </si>
  <si>
    <t>T - 94.92 Activities of political organisations</t>
  </si>
  <si>
    <t>NACE_T9492</t>
  </si>
  <si>
    <t>T - 94.99 Activities of other membership organisations n.e.c.</t>
  </si>
  <si>
    <t>NACE_T9499</t>
  </si>
  <si>
    <t>T - 95 Repair and maintenance of computers, personal and household goods, and motor vehicles and motorcycles</t>
  </si>
  <si>
    <t>NACE_T95</t>
  </si>
  <si>
    <t>T - 95.1 Repair and maintenance of computers and communication equipment</t>
  </si>
  <si>
    <t>NACE_T951</t>
  </si>
  <si>
    <t>T - 95.10 Repair and maintenance of computers and communication equipment</t>
  </si>
  <si>
    <t>NACE_T9510</t>
  </si>
  <si>
    <t>T - 95.2 Repair and maintenance of personal and household goods</t>
  </si>
  <si>
    <t>NACE_T952</t>
  </si>
  <si>
    <t>T - 95.21 Repair and maintenance of consumer electronics</t>
  </si>
  <si>
    <t>NACE_T9521</t>
  </si>
  <si>
    <t>T - 95.22 Repair and maintenance of household appliances and home and garden equipment</t>
  </si>
  <si>
    <t>NACE_T9522</t>
  </si>
  <si>
    <t>T - 95.23 Repair and maintenance of footwear and leather goods</t>
  </si>
  <si>
    <t>NACE_T9523</t>
  </si>
  <si>
    <t>T - 95.24 Repair and maintenance of furniture and home furnishings</t>
  </si>
  <si>
    <t>NACE_T9524</t>
  </si>
  <si>
    <t>T - 95.25 Repair and maintenance of watches, clocks and jewellery</t>
  </si>
  <si>
    <t>NACE_T9525</t>
  </si>
  <si>
    <t>T - 95.29 Repair and maintenance of personal and household goods n.e.c.</t>
  </si>
  <si>
    <t>NACE_T9529</t>
  </si>
  <si>
    <t>T - 95.3 Repair and maintenance of motor vehicles and motorcycles</t>
  </si>
  <si>
    <t>NACE_T953</t>
  </si>
  <si>
    <t>T - 95.31 Repair and maintenance of motor vehicles</t>
  </si>
  <si>
    <t>NACE_T9531</t>
  </si>
  <si>
    <t>T - 95.32 Repair and maintenance of motorcycles</t>
  </si>
  <si>
    <t>NACE_T9532</t>
  </si>
  <si>
    <t>T - 95.4 Intermediation service activities for repair and maintenance of computers, personal and household goods, and motor vehicles and motorcycles</t>
  </si>
  <si>
    <t>NACE_T954</t>
  </si>
  <si>
    <t>T - 95.40 Intermediation service activities for repair and maintenance of computers, personal and household goods, and motor vehicles and motorcycles</t>
  </si>
  <si>
    <t>NACE_T9540</t>
  </si>
  <si>
    <t>T - 96 Personal service activities</t>
  </si>
  <si>
    <t>NACE_T96</t>
  </si>
  <si>
    <t>T - 96.1 Washing and cleaning of textile and fur products</t>
  </si>
  <si>
    <t>NACE_T961</t>
  </si>
  <si>
    <t>T - 96.10 Washing and cleaning of textile and fur products</t>
  </si>
  <si>
    <t>NACE_T9610</t>
  </si>
  <si>
    <t>T - 96.2 Hairdressing, beauty treatment, day spa and similar activities</t>
  </si>
  <si>
    <t>NACE_T962</t>
  </si>
  <si>
    <t>T - 96.21 Hairdressing and barber activities</t>
  </si>
  <si>
    <t>NACE_T9621</t>
  </si>
  <si>
    <t>T - 96.22 Beauty care and other beauty treatment activities</t>
  </si>
  <si>
    <t>NACE_T9622</t>
  </si>
  <si>
    <t>T - 96.23 Day spa, sauna and steam bath activities</t>
  </si>
  <si>
    <t>NACE_T9623</t>
  </si>
  <si>
    <t>T - 96.3 Funeral and related activities</t>
  </si>
  <si>
    <t>NACE_T963</t>
  </si>
  <si>
    <t>T - 96.30 Funeral and related activities</t>
  </si>
  <si>
    <t>NACE_T9630</t>
  </si>
  <si>
    <t>T - 96.4 Intermediation service activities for personal services</t>
  </si>
  <si>
    <t>NACE_T964</t>
  </si>
  <si>
    <t>T - 96.40 Intermediation service activities for personal services</t>
  </si>
  <si>
    <t>NACE_T9640</t>
  </si>
  <si>
    <t>T - 96.9 Other personal service activities</t>
  </si>
  <si>
    <t>NACE_T969</t>
  </si>
  <si>
    <t>T - 96.91 Provision of domestic personal service activities</t>
  </si>
  <si>
    <t>NACE_T9691</t>
  </si>
  <si>
    <t>T - 96.99 Other personal service activities n.e.c.</t>
  </si>
  <si>
    <t>NACE_T9699</t>
  </si>
  <si>
    <t>U - ACTIVITIES OF HOUSEHOLDS AS EMPLOYERS AND UNDIFFERENTIATED GOODS – AND SERVICE-PRODUCING ACTIVITIES OF HOUSEHOLDS FOR OWN USE</t>
  </si>
  <si>
    <t>NACE_U</t>
  </si>
  <si>
    <t>U - 97 Activities of households as employers of domestic personnel</t>
  </si>
  <si>
    <t>NACE_U97</t>
  </si>
  <si>
    <t>U - 97.0 Activities of households as employers of domestic personnel</t>
  </si>
  <si>
    <t>NACE_U970</t>
  </si>
  <si>
    <t>U - 97.00 Activities of households as employers of domestic personnel</t>
  </si>
  <si>
    <t>NACE_U9700</t>
  </si>
  <si>
    <t>U - 98 Undifferentiated goods- and service-producing activities of private households for own use</t>
  </si>
  <si>
    <t>NACE_U98</t>
  </si>
  <si>
    <t>U - 98.1 Undifferentiated goods-producing activities of private households for own use</t>
  </si>
  <si>
    <t>NACE_U981</t>
  </si>
  <si>
    <t>U - 98.10 Undifferentiated goods-producing activities of private households for own use</t>
  </si>
  <si>
    <t>NACE_U9810</t>
  </si>
  <si>
    <t>U - 98.2 Undifferentiated service-producing activities of private households for own use</t>
  </si>
  <si>
    <t>NACE_U982</t>
  </si>
  <si>
    <t>U - 98.20 Undifferentiated service-producing activities of private households for own use</t>
  </si>
  <si>
    <t>NACE_U9820</t>
  </si>
  <si>
    <t>V - ACTIVITIES OF EXTRATERRITORIAL ORGANISATIONS AND BODIES</t>
  </si>
  <si>
    <t>NACE_V</t>
  </si>
  <si>
    <t>V - 99 Activities of extraterritorial organisations and bodies</t>
  </si>
  <si>
    <t>NACE_V99</t>
  </si>
  <si>
    <t>V - 99.0 Activities of extraterritorial organisations and bodies</t>
  </si>
  <si>
    <t>NACE_V990</t>
  </si>
  <si>
    <t>V - 99.00 Activities of extraterritorial organisations and bodies</t>
  </si>
  <si>
    <t>NACE_V9900</t>
  </si>
  <si>
    <t>NACE_AllEconomicActivitiesNAMembeB1r</t>
  </si>
  <si>
    <t>Simazine</t>
  </si>
  <si>
    <t>Mirex</t>
  </si>
  <si>
    <t>Lindane</t>
  </si>
  <si>
    <t>Isoproturon</t>
  </si>
  <si>
    <t>Halons</t>
  </si>
  <si>
    <t>Diuron</t>
  </si>
  <si>
    <t>Dicofol</t>
  </si>
  <si>
    <t>DDT</t>
  </si>
  <si>
    <t>Chlorpyrifos</t>
  </si>
  <si>
    <t>Chlorfenvinphos</t>
  </si>
  <si>
    <t>Chlordane</t>
  </si>
  <si>
    <t>Atrazine</t>
  </si>
  <si>
    <t>01 WASTES RESULTING FROM EXPLORATION, MINING, DRESSING AND FURTHER TREATMENT OF MINERALS AND QUARRY</t>
  </si>
  <si>
    <t>02 WASTES FROM AGRICULTURAL, HORTICULTURAL, HUNTING, FISHING AND AQUACULTURAL PRIMARY PRODUCTION, FOOD PREPARATION AND PROCESSING</t>
  </si>
  <si>
    <t>03 WASTES FROM WOOD PROCESSING AND THE PRODUCTION OF PAPER, CARDBOARD, PULP, PANELS AND FURNITURE</t>
  </si>
  <si>
    <t>04 WASTES FROM THE LEATHER, FUR AND TEXTILE INDUSTRIES</t>
  </si>
  <si>
    <t>05 WASTES FROM PETROLEUM REFINING, NATURAL GAS PURIFICATION AND PYROLYTIC TREATMENT OF COAL</t>
  </si>
  <si>
    <t>06 WASTES FROM INORGANIC CHEMICAL PROCESSES</t>
  </si>
  <si>
    <t>07 WASTES FROM ORGANIC CHEMICAL PROCESSES</t>
  </si>
  <si>
    <t>08 WASTES FROM THE MANUFACTURE, FORMULATION, SUPPLY AND USE (MFSU) OF COATINGS (PAINTS, VARNISHES AND VITREOUS ENAMELS), ADHESIVES, SEALANTS AND PRINTING INKS</t>
  </si>
  <si>
    <t>09 WASTES FROM THE PHOTOGRAPHIC INDUSTRY</t>
  </si>
  <si>
    <t>10 INORGANIC WASTES FROM THERMAL PROCESSES</t>
  </si>
  <si>
    <t>11 INORGANIC METAL-CONTAINING WASTES FROM METAL TREATMENT AND THE COATING OF METALS, AND NON-FERROUS HYDROMETALLURGY</t>
  </si>
  <si>
    <t>12 WASTES FROM SHAPING AND SURFACE TREATMENT OF METALS AND PLASTICS</t>
  </si>
  <si>
    <t>13 OIL WASTES (except edible oils, wastes from petroleum refining, natural gas purification and pyrolytic treatment of coal and wastes from shaping and surface treatment of metals and plastics)</t>
  </si>
  <si>
    <t>15 WASTE PACKAGING; ABSORBENTS, WIPING CLOTHS, FILTER MATERIALS AND PROTECTIVE CLOTHING NOT OTHERWISE SPECIFIED</t>
  </si>
  <si>
    <t>16 WASTES NOT OTHERWISE SPECIFIED IN THE LIST</t>
  </si>
  <si>
    <t>17 CONSTRUCTION AND DEMOLITION WASTES (INCLUDING ROAD CONSTRUCTION)</t>
  </si>
  <si>
    <t>18 WASTES FROM HUMAN OR ANIMAL HEALTH CARE AND/OR RELATED RESEARCH (except kitchen and restaurant wastes not arising from immediate health care)</t>
  </si>
  <si>
    <t>19 WASTES FROM WASTE TREATMENT FACILITIES, OFF-SITE WASTE WATER TREATMENT PLANTS AND THE WATER INDUSTRY</t>
  </si>
  <si>
    <t>20 MUNICIPAL WASTES AND SIMILAR COMMERCIAL, INDUSTRIAL AND INSTITUTIONAL WASTES INCLUDING SEPARATELY COLLECTED FRACTIONS</t>
  </si>
  <si>
    <t>Unit of measurement</t>
  </si>
  <si>
    <t xml:space="preserve">        020105 Hazardous Waste - Agrochemical wastes</t>
  </si>
  <si>
    <t xml:space="preserve">        010102 Non-Hazardous Waste - Waste from mineral non-metalliferous excavation</t>
  </si>
  <si>
    <t xml:space="preserve">        010201 Non-Hazardous Waste - Wastes from the dressing of metalliferous minerals</t>
  </si>
  <si>
    <t xml:space="preserve">        010202 Non-Hazardous Waste - Wastes from the dressing on non-metalliferous minerals</t>
  </si>
  <si>
    <t xml:space="preserve">        010301 Non-Hazardous Waste - Tailings</t>
  </si>
  <si>
    <t xml:space="preserve">        010302 Non-Hazardous Waste - Dusty and powdery waste</t>
  </si>
  <si>
    <t xml:space="preserve">        010303 Non-Hazardous Waste - Red mud from alumina production</t>
  </si>
  <si>
    <t xml:space="preserve">        010399 Non-Hazardous Waste - Wastes not otherwise specified</t>
  </si>
  <si>
    <t xml:space="preserve">        010401 Non-Hazardous Waste - Waste gravel and crushed rocks</t>
  </si>
  <si>
    <t xml:space="preserve">        010402 Non-Hazardous Waste - Waste sand and clays</t>
  </si>
  <si>
    <t xml:space="preserve">        010403 Non-Hazardous Waste - Dusy and powdery waste</t>
  </si>
  <si>
    <t xml:space="preserve">        010404 Non-Hazardous Waste - Waste from potash and rock-salt processing</t>
  </si>
  <si>
    <t xml:space="preserve">        010405 Non-Hazardous Waste - Waste from washing and cleaning of minerals</t>
  </si>
  <si>
    <t xml:space="preserve">        010406 Non-Hazardous Waste - Waste from stone cutting and sawing</t>
  </si>
  <si>
    <t xml:space="preserve">        010499 Non-Hazardous Waste - Waste not otherwise specified</t>
  </si>
  <si>
    <t xml:space="preserve">        010501 Non-Hazardous Waste - Oil-containing drilling muds and wastes</t>
  </si>
  <si>
    <t xml:space="preserve">        010502 Non-Hazardous Waste - Barite-containing drilling muds and wastes</t>
  </si>
  <si>
    <t xml:space="preserve">        010503 Non-Hazardous Waste - Chloride-containing drilling muds and wastes</t>
  </si>
  <si>
    <t xml:space="preserve">        010504 Non-Hazardous Waste - Fresh-water drilling muds and wastes</t>
  </si>
  <si>
    <t xml:space="preserve">        010599 Non-Hazardous Waste - Wastes not otherwise specified</t>
  </si>
  <si>
    <t xml:space="preserve">        020101 Non-Hazardous Waste - Sludges from washing and cleaning</t>
  </si>
  <si>
    <t xml:space="preserve">        020102 Non-Hazardous Waste - Animal tissue waste</t>
  </si>
  <si>
    <t xml:space="preserve">        020103 Non-Hazardous Waste - Plant tissue waste</t>
  </si>
  <si>
    <t xml:space="preserve">        020104 Non-Hazardous Waste - Waste plastics (except packaging)</t>
  </si>
  <si>
    <t xml:space="preserve">        020106 Non-Hazardous Waste - Animal faeces, urine and manure (including spoiled straw), effluent, collected separately and treated off-site</t>
  </si>
  <si>
    <t xml:space="preserve">        020107 Non-Hazardous Waste - Waste from forestry exploitation</t>
  </si>
  <si>
    <t xml:space="preserve">        020199 Non-Hazardous Waste - Waste not otherwise specified</t>
  </si>
  <si>
    <t xml:space="preserve">        020201 Non-Hazardous Waste - Sludges from washing and cleaning</t>
  </si>
  <si>
    <t xml:space="preserve">        020202 Non-Hazardous Waste - Animal tissue waste</t>
  </si>
  <si>
    <t xml:space="preserve">        020203 Non-Hazardous Waste - Material unsuitable for consumption or processing</t>
  </si>
  <si>
    <t xml:space="preserve">        020204 Non-Hazardous Waste - Sludges from on-site effluent treatment</t>
  </si>
  <si>
    <t xml:space="preserve">        020299 Non-Hazardous Waste - Waste not otherwise specified</t>
  </si>
  <si>
    <t xml:space="preserve">        020301 Non-Hazardous Waste - Sludges from washing, cleaning, peeling, centrifuging and separation</t>
  </si>
  <si>
    <t xml:space="preserve">        020302 Non-Hazardous Waste - Waste from preserving agents</t>
  </si>
  <si>
    <t xml:space="preserve">        020303 Non-Hazardous Waste - Waste from solvent extraction</t>
  </si>
  <si>
    <t xml:space="preserve">        020304 Non-Hazardous Waste - Materials unsuitable for consumption or processing</t>
  </si>
  <si>
    <t xml:space="preserve">        020305 Non-Hazardous Waste - Sludges from on-site effluent treatment</t>
  </si>
  <si>
    <t xml:space="preserve">        020399 Non-Hazardous Waste - Wastes not otherwise specified</t>
  </si>
  <si>
    <t xml:space="preserve">        020401 Non-Hazardous Waste - Soil from cleaning and washing beet</t>
  </si>
  <si>
    <t xml:space="preserve">        020402 Non-Hazardous Waste - Off-specification calcium carbonate</t>
  </si>
  <si>
    <t xml:space="preserve">        020403 Non-Hazardous Waste - Sludges from on-site effluent treatment</t>
  </si>
  <si>
    <t xml:space="preserve">        020499 Non-Hazardous Waste - Wastes not otherwise specified</t>
  </si>
  <si>
    <t xml:space="preserve">        020501 Non-Hazardous Waste - Materials unsuitable for consumption or processing</t>
  </si>
  <si>
    <t xml:space="preserve">        020502 Non-Hazardous Waste - Sludges from on-site effluent treatment</t>
  </si>
  <si>
    <t xml:space="preserve">        020599 Non-Hazardous Waste - Wastes not otherwise specified</t>
  </si>
  <si>
    <t xml:space="preserve">        020601 Non-Hazardous Waste - Materials unsuitable for consumption or processing</t>
  </si>
  <si>
    <t xml:space="preserve">        020602 Non-Hazardous Waste - Wastes from preserving agents</t>
  </si>
  <si>
    <t xml:space="preserve">        020603 Non-Hazardous Waste - Sludges from on-site effluent treatment</t>
  </si>
  <si>
    <t xml:space="preserve">        020699 Non-Hazardous Waste - Wastes not otherwiese specified</t>
  </si>
  <si>
    <t xml:space="preserve">        020701 Non-Hazardous Waste - Waste from washing, cleaning and mechanical reduction of raw materials</t>
  </si>
  <si>
    <t xml:space="preserve">        020702 Non-Hazardous Waste - Waste from spirits distillation</t>
  </si>
  <si>
    <t xml:space="preserve">        020703 Non-Hazardous Waste - Waste from chemical treatment</t>
  </si>
  <si>
    <t xml:space="preserve">        020704 Non-Hazardous Waste - Materials unsuitable for consumption or processing</t>
  </si>
  <si>
    <t xml:space="preserve">        020705 Non-Hazardous Waste - Sludges from on-site effluent treatment</t>
  </si>
  <si>
    <t xml:space="preserve">        020799 Non-Hazardous Waste - Wastes not otherwise specified</t>
  </si>
  <si>
    <t xml:space="preserve">        030201 Non-Hazardous Waste - Non-halogenated organic wood preservatives</t>
  </si>
  <si>
    <t xml:space="preserve">        030202 Non-Hazardous Waste - Organochlorinated wood preservatives</t>
  </si>
  <si>
    <t xml:space="preserve">        030203 Non-Hazardous Waste - Organometallic wood preservatives</t>
  </si>
  <si>
    <t xml:space="preserve">        030204 Non-Hazardous Waste - Inorganic wood preservatives</t>
  </si>
  <si>
    <t xml:space="preserve">        030301 Non-Hazardous Waste - Bark</t>
  </si>
  <si>
    <t xml:space="preserve">        030302 Non-Hazardous Waste - Dregs and green liquor sludges (from black liquor treatment)</t>
  </si>
  <si>
    <t xml:space="preserve">        030303 Non-Hazardous Waste - Bleaching sludges from hypochlorite and chlorine processes</t>
  </si>
  <si>
    <t xml:space="preserve">        030304 Non-Hazardous Waste - Bleaching sludges from other bleaching processes</t>
  </si>
  <si>
    <t xml:space="preserve">        030305 Non-Hazardous Waste - De-inking sludges from paper recycling</t>
  </si>
  <si>
    <t xml:space="preserve">        030306 Non-Hazardous Waste - Fibre and paper sludge</t>
  </si>
  <si>
    <t xml:space="preserve">        030307 Non-Hazardous Waste - Rejects from paper and cardboard recycling</t>
  </si>
  <si>
    <t xml:space="preserve">        030399 Non-Hazardous Waste - Wastes not otherwise specified</t>
  </si>
  <si>
    <t xml:space="preserve">        040101 Non-Hazardous Waste - Fleshings and lime split waste</t>
  </si>
  <si>
    <t xml:space="preserve">        040102 Non-Hazardous Waste - Liming waste</t>
  </si>
  <si>
    <t xml:space="preserve">        040104 Non-Hazardous Waste - Tanning liquor containing chromium</t>
  </si>
  <si>
    <t xml:space="preserve">        040105 Non-Hazardous Waste - Tanning liquor free of chromium</t>
  </si>
  <si>
    <t xml:space="preserve">        040106 Non-Hazardous Waste - Sludges, in particular from on-site, effluent treatment containing chromium</t>
  </si>
  <si>
    <t xml:space="preserve">        040107 Non-Hazardous Waste - Sludges, in particular from on-site effluent treatment free of chromium</t>
  </si>
  <si>
    <t xml:space="preserve">        040108 Non-Hazardous Waste - Waste tanned leather (blue sheetings, shavings, cuttings, buffing dust) containing chromium</t>
  </si>
  <si>
    <t xml:space="preserve">        040109 Non-Hazardous Waste - Waste from dressing and finishing</t>
  </si>
  <si>
    <t xml:space="preserve">        040199 Non-Hazardous Waste - Waste not otherwise specified</t>
  </si>
  <si>
    <t xml:space="preserve">        040201 Non-Hazardous Waste - Waste from unprocessed textile fibres and other natural fibrous substances mainly of vegetable origin</t>
  </si>
  <si>
    <t xml:space="preserve">        040202 Non-Hazardous Waste - Waste from unprocessed textile fibres mainly of animal origin</t>
  </si>
  <si>
    <t xml:space="preserve">        040203 Non-Hazardous Waste - Waste from unprocessed textile fibres mainly of artificial or synthetic origin</t>
  </si>
  <si>
    <t xml:space="preserve">        040204 Non-Hazardous Waste - Waste from unprocessed mixed textile fibres before spinning and weaving</t>
  </si>
  <si>
    <t xml:space="preserve">        040205 Non-Hazardous Waste - Waste from processed textile fibres mainly of vegetable origin</t>
  </si>
  <si>
    <t xml:space="preserve">        040206 Non-Hazardous Waste - Waste from processed textile fibres mainly of animal origin</t>
  </si>
  <si>
    <t xml:space="preserve">        040207 Non-Hazardous Waste - Waste from processed fibres mainly of artifical or synthetic origin</t>
  </si>
  <si>
    <t xml:space="preserve">        040208 Non-Hazardous Waste - Waste from processed mixed textile fibres</t>
  </si>
  <si>
    <t xml:space="preserve">        040209 Non-Hazardous Waste - Waste from composite materials (impregnated textile, elastomer, plastomer)</t>
  </si>
  <si>
    <t xml:space="preserve">        040210 Non-Hazardous Waste - Organic matter from natural products (e.g. grease, wax)</t>
  </si>
  <si>
    <t xml:space="preserve">        040215 Non-Hazardous Waste - Other wastes from finishing</t>
  </si>
  <si>
    <t xml:space="preserve">        040217 Non-Hazardous Waste - Other dyestuffs and pigments</t>
  </si>
  <si>
    <t xml:space="preserve">        040220 Non-Hazardous Waste - Other sludges from on-site effluent treatment</t>
  </si>
  <si>
    <t xml:space="preserve">        040299 Non-Hazardous Waste - Wastes not otherwise specified</t>
  </si>
  <si>
    <t xml:space="preserve">        050102 Non-Hazardous Waste - Desalter sludges</t>
  </si>
  <si>
    <t xml:space="preserve">        050106 Non-Hazardous Waste - Sludges from plant, equipment and maintenance operations</t>
  </si>
  <si>
    <t xml:space="preserve">        050110 Non-Hazardous Waste - Other sludges from on-site effluent treatment</t>
  </si>
  <si>
    <t xml:space="preserve">        050199 Non-Hazardous Waste - Wastes not otherwise specified</t>
  </si>
  <si>
    <t xml:space="preserve">        050201 Non-Hazardous Waste - Boiler feedwater sludges</t>
  </si>
  <si>
    <t xml:space="preserve">        050202 Non-Hazardous Waste - Waste from cooling columns</t>
  </si>
  <si>
    <t xml:space="preserve">        050299 Non-Hazardous Waste - Wastes not otherwise specified</t>
  </si>
  <si>
    <t xml:space="preserve">        050501 Non-Hazardous Waste - Waste containing sulphur</t>
  </si>
  <si>
    <t xml:space="preserve">        050599 Non-Hazardous Waste - Wastes not otherwise specified</t>
  </si>
  <si>
    <t xml:space="preserve">        050602 Non-Hazardous Waste - Asphalt</t>
  </si>
  <si>
    <t xml:space="preserve">        050604 Non-Hazardous Waste - Waste from cooling columns</t>
  </si>
  <si>
    <t xml:space="preserve">        050699 Non-Hazardous Waste - Wastes not otherwise specified</t>
  </si>
  <si>
    <t xml:space="preserve">        050702 Non-Hazardous Waste - Waste containing sulphur</t>
  </si>
  <si>
    <t xml:space="preserve">        050799 Non-Hazardous Waste - Wastes not otherwise specified</t>
  </si>
  <si>
    <t xml:space="preserve">        060301 Non-Hazardous Waste - Carbonates (except off-specification calcium carbonate)</t>
  </si>
  <si>
    <t xml:space="preserve">        060302 Non-Hazardous Waste - Saline solutions containing sulphates, sulphites or sulphides</t>
  </si>
  <si>
    <t xml:space="preserve">        060303 Non-Hazardous Waste - Solid salts containing sulphates, sulphites or sulphides</t>
  </si>
  <si>
    <t xml:space="preserve">        060304 Non-Hazardous Waste - Saline solutions containing chlorides, fluorides and halides</t>
  </si>
  <si>
    <t xml:space="preserve">        060305 Non-Hazardous Waste - Solid salts containing chlorides, fluorides and other halogenated solid salts</t>
  </si>
  <si>
    <t xml:space="preserve">        060306 Non-Hazardous Waste - Saline solutions containing phosphates and related solid salts</t>
  </si>
  <si>
    <t xml:space="preserve">        060307 Non-Hazardous Waste - Phosphates and related solid salts</t>
  </si>
  <si>
    <t xml:space="preserve">        060308 Non-Hazardous Waste - Saline solutions containing nitrates and related compounds</t>
  </si>
  <si>
    <t xml:space="preserve">        060309 Non-Hazardous Waste - Solid salts containing nitrides (nitrometallic)</t>
  </si>
  <si>
    <t xml:space="preserve">        060310 Non-Hazardous Waste - Solid salts containing ammonium</t>
  </si>
  <si>
    <t xml:space="preserve">        060312 Non-Hazardous Waste - Salts and solutions containing organic compounds</t>
  </si>
  <si>
    <t xml:space="preserve">        060399 Non-Hazardous Waste - Wastes not otherwise specified</t>
  </si>
  <si>
    <t xml:space="preserve">        060401 Non-Hazardous Waste - Metallic oxides</t>
  </si>
  <si>
    <t xml:space="preserve">        060499 Non-Hazardous Waste - Wastes not otherwise specified</t>
  </si>
  <si>
    <t xml:space="preserve">        060503 Non-Hazardous Waste - Other sludges from on-site effluent treatment</t>
  </si>
  <si>
    <t xml:space="preserve">        060601 Non-Hazardous Waste - Waste containing sulphur</t>
  </si>
  <si>
    <t xml:space="preserve">        060699 Non-Hazardous Waste - Wastes not otherwise specified</t>
  </si>
  <si>
    <t xml:space="preserve">        060799 Non-Hazardous Waste - Wastes not otherwise specified</t>
  </si>
  <si>
    <t xml:space="preserve">        060801 Non-Hazardous Waste - Waste from production of silicon and silicon derivatives</t>
  </si>
  <si>
    <t xml:space="preserve">        060901 Non-Hazardous Waste - Phosphogypsum</t>
  </si>
  <si>
    <t xml:space="preserve">        060902 Non-Hazardous Waste - Phosphorous slag</t>
  </si>
  <si>
    <t xml:space="preserve">        060999 Non-Hazardous Waste - Wastes not otherwise specified</t>
  </si>
  <si>
    <t xml:space="preserve">        061001 Non-Hazardous Waste - Waste from nitrogen chemical processes and fertiliser manufacture</t>
  </si>
  <si>
    <t xml:space="preserve">        061101 Non-Hazardous Waste - Gypsum from titanium dioxide production</t>
  </si>
  <si>
    <t xml:space="preserve">        061199 Non-Hazardous Waste - Wastes not otherwise specified</t>
  </si>
  <si>
    <t xml:space="preserve">        061303 Non-Hazardous Waste - Carbon black</t>
  </si>
  <si>
    <t xml:space="preserve">        061399 Non-Hazardous Waste - Wastes not otherwise specified</t>
  </si>
  <si>
    <t xml:space="preserve">        070112 Non-Hazardous Waste - Other sludges from on-site effluent treatment</t>
  </si>
  <si>
    <t xml:space="preserve">        070199 Non-Hazardous Waste - Wastes not otherwise specified</t>
  </si>
  <si>
    <t xml:space="preserve">        070212 Non-Hazardous Waste - Other sludges from on-site effluent treatment</t>
  </si>
  <si>
    <t xml:space="preserve">        070213 Non-Hazardous Waste - Waste plastic</t>
  </si>
  <si>
    <t xml:space="preserve">        070299 Non-Hazardous Waste - Wastes not otherwise specified</t>
  </si>
  <si>
    <t xml:space="preserve">        070312 Non-Hazardous Waste - Other sludges from on-site effluent treatment</t>
  </si>
  <si>
    <t xml:space="preserve">        070399 Non-Hazardous Waste - Wastes not otherwise specified</t>
  </si>
  <si>
    <t xml:space="preserve">        070412 Non-Hazardous Waste - Other sludges from on-site effluent treatment</t>
  </si>
  <si>
    <t xml:space="preserve">        070499 Non-Hazardous Waste - Wastes not otherwise specified</t>
  </si>
  <si>
    <t xml:space="preserve">        070512 Non-Hazardous Waste - Other sludges from on-site effluent treatment</t>
  </si>
  <si>
    <t xml:space="preserve">        070599 Non-Hazardous Waste - Wastes not otherwise specified</t>
  </si>
  <si>
    <t xml:space="preserve">        070612 Non-Hazardous Waste - Other sludges from on-site effluent treatment</t>
  </si>
  <si>
    <t xml:space="preserve">        070699 Non-Hazardous Waste - Wastes not otherwise specified</t>
  </si>
  <si>
    <t xml:space="preserve">        070712 Non-Hazardous Waste - Other sludges from on-site effluent treatment</t>
  </si>
  <si>
    <t xml:space="preserve">        070799 Non-Hazardous Waste - Wastes not otherwise specified</t>
  </si>
  <si>
    <t xml:space="preserve">        080112 Non-Hazardous Waste - Other waste paints and varnishes</t>
  </si>
  <si>
    <t xml:space="preserve">        080114 Non-Hazardous Waste - Other sludges from paint or varnish</t>
  </si>
  <si>
    <t xml:space="preserve">        080116 Non-Hazardous Waste - </t>
  </si>
  <si>
    <t xml:space="preserve">        080118 Non-Hazardous Waste - Other wastes from paint or varnish removal</t>
  </si>
  <si>
    <t xml:space="preserve">        080120 Non-Hazardous Waste - Other aqueous suspensions containing paint or varnish</t>
  </si>
  <si>
    <t xml:space="preserve">        080199 Non-Hazardous Waste - Wastes not otherwise specified</t>
  </si>
  <si>
    <t xml:space="preserve">        080201 Non-Hazardous Waste - Waste coating powders</t>
  </si>
  <si>
    <t xml:space="preserve">        080202 Non-Hazardous Waste - Aqueous sludges containing ceramic materials</t>
  </si>
  <si>
    <t xml:space="preserve">        080203 Non-Hazardous Waste - Aqueous suspensions containing ceramic materials</t>
  </si>
  <si>
    <t xml:space="preserve">        080299 Non-Hazardous Waste - Wastes not otherwise specified</t>
  </si>
  <si>
    <t xml:space="preserve">        080303 Non-Hazardous Waste - Waste from water-based ink</t>
  </si>
  <si>
    <t xml:space="preserve">        080304 Non-Hazardous Waste - Dried ink</t>
  </si>
  <si>
    <t xml:space="preserve">        080307 Non-Hazardous Waste - Aqueous sludges containing ink</t>
  </si>
  <si>
    <t xml:space="preserve">        080308 Non-Hazardous Waste - Aqueous liquid waste containing ink</t>
  </si>
  <si>
    <t xml:space="preserve">        080309 Non-Hazardous Waste - Waste printing toner (including cartridges)</t>
  </si>
  <si>
    <t xml:space="preserve">        080399 Non-Hazardous Waste - Wastes not otherwise specified</t>
  </si>
  <si>
    <t xml:space="preserve">        080410 Non-Hazardous Waste - Wastes from MFSU of adhesives and sealants (including waterproofing products)</t>
  </si>
  <si>
    <t xml:space="preserve">        080412 Non-Hazardous Waste - Other adhesives and sealant sludges</t>
  </si>
  <si>
    <t xml:space="preserve">        080414 Non-Hazardous Waste - Other aqueous sludges containing adhesives or sealants</t>
  </si>
  <si>
    <t xml:space="preserve">        080416 Non-Hazardous Waste - Other aqueous liquid waste containing adhesives or sealants</t>
  </si>
  <si>
    <t xml:space="preserve">        080499 Non-Hazardous Waste - Wastes not otherwise specified</t>
  </si>
  <si>
    <t xml:space="preserve">        090107 Non-Hazardous Waste - Photographic film and paper containing silver or silver compounds</t>
  </si>
  <si>
    <t xml:space="preserve">        090108 Non-Hazardous Waste - Photographic film and paper free of silver or silver compounds</t>
  </si>
  <si>
    <t xml:space="preserve">        090110 Non-Hazardous Waste - Single-use cameras without batteries</t>
  </si>
  <si>
    <t xml:space="preserve">        090112 Non-Hazardous Waste - Other single-use cameras containing batteries</t>
  </si>
  <si>
    <t xml:space="preserve">        090199 Non-Hazardous Waste - Wastes not otherwise specified</t>
  </si>
  <si>
    <t xml:space="preserve">        100101 Non-Hazardous Waste - Bottom ash</t>
  </si>
  <si>
    <t xml:space="preserve">        100102 Non-Hazardous Waste - Coal fly ash</t>
  </si>
  <si>
    <t xml:space="preserve">        100103 Non-Hazardous Waste - Peat and (untreated) wood fly ash</t>
  </si>
  <si>
    <t xml:space="preserve">        100105 Non-Hazardous Waste - Calcium-based reaction waste from flue gas desulphurisation in solid form</t>
  </si>
  <si>
    <t xml:space="preserve">        100106 Non-Hazardous Waste - Other solid wastes from gas treatment</t>
  </si>
  <si>
    <t xml:space="preserve">        100107 Non-Hazardous Waste - Calcium-based reaction waste from flue gas desulphurisation in sludge form</t>
  </si>
  <si>
    <t xml:space="preserve">        100108 Non-Hazardous Waste - Other sludges from gas treatment</t>
  </si>
  <si>
    <t xml:space="preserve">        100111 Non-Hazardous Waste - Aqueous sludges from boiler cleansing</t>
  </si>
  <si>
    <t xml:space="preserve">        100112 Non-Hazardous Waste - Spent linings and refractories</t>
  </si>
  <si>
    <t xml:space="preserve">        100199 Non-Hazardous Waste - Wastes not otherwise specified</t>
  </si>
  <si>
    <t xml:space="preserve">        100201 Non-Hazardous Waste - Waste from the processing of slag</t>
  </si>
  <si>
    <t xml:space="preserve">        100202 Non-Hazardous Waste - Unprocessed slag</t>
  </si>
  <si>
    <t xml:space="preserve">        100205 Non-Hazardous Waste - Other sludges</t>
  </si>
  <si>
    <t xml:space="preserve">        100206 Non-Hazardous Waste - Spent linings and refractories</t>
  </si>
  <si>
    <t xml:space="preserve">        100208 Non-Hazardous Waste - Others solid wastes from gas treatment of electrical arc furnaces</t>
  </si>
  <si>
    <t xml:space="preserve">        100209 Non-Hazardous Waste - Solid waste from gas treatment of other iron and steel processes</t>
  </si>
  <si>
    <t xml:space="preserve">        100210 Non-Hazardous Waste - Mill scales</t>
  </si>
  <si>
    <t xml:space="preserve">        100212 Non-Hazardous Waste - Other wastes from cooling water treatment</t>
  </si>
  <si>
    <t xml:space="preserve">        100214 Non-Hazardous Waste - Other sludges from gas treatment other</t>
  </si>
  <si>
    <t xml:space="preserve">        100299 Non-Hazardous Waste - Wastes not otherwise specified</t>
  </si>
  <si>
    <t xml:space="preserve">        100302 Non-Hazardous Waste - Anode scraps</t>
  </si>
  <si>
    <t xml:space="preserve">        100305 Non-Hazardous Waste - Alumina dust</t>
  </si>
  <si>
    <t xml:space="preserve">        100306 Non-Hazardous Waste - Used carbon strips and fireproof materials from electrolysis</t>
  </si>
  <si>
    <t xml:space="preserve">        100311 Non-Hazardous Waste - Flue gas dust</t>
  </si>
  <si>
    <t xml:space="preserve">        100312 Non-Hazardous Waste - Other particulates and dust (including ball mill dust)</t>
  </si>
  <si>
    <t xml:space="preserve">        100313 Non-Hazardous Waste - Solid waste from gas treatment</t>
  </si>
  <si>
    <t xml:space="preserve">        100314 Non-Hazardous Waste - Sludges from gas treatment</t>
  </si>
  <si>
    <t xml:space="preserve">        100316 Non-Hazardous Waste - Other skimmings</t>
  </si>
  <si>
    <t xml:space="preserve">        100399 Non-Hazardous Waste - Wastes not otherwise specified</t>
  </si>
  <si>
    <t xml:space="preserve">        100408 Non-Hazardous Waste - Spent linings and refractories</t>
  </si>
  <si>
    <t xml:space="preserve">        100499 Non-Hazardous Waste - Wastes not otherwise specified</t>
  </si>
  <si>
    <t xml:space="preserve">        100502 Non-Hazardous Waste - Dross and skimmings (first and second smelting)</t>
  </si>
  <si>
    <t xml:space="preserve">        100504 Non-Hazardous Waste - Other particulates and dust</t>
  </si>
  <si>
    <t xml:space="preserve">        100507 Non-Hazardous Waste - Spent linings and refractories</t>
  </si>
  <si>
    <t xml:space="preserve">        100599 Non-Hazardous Waste - Wastes not otherwise specified</t>
  </si>
  <si>
    <t xml:space="preserve">        100601 Non-Hazardous Waste - Slags (first and second smelting)</t>
  </si>
  <si>
    <t xml:space="preserve">        100602 Non-Hazardous Waste - Dross and skimmings (first and second smelting)</t>
  </si>
  <si>
    <t xml:space="preserve">        100604 Non-Hazardous Waste - Other particulates and dust</t>
  </si>
  <si>
    <t xml:space="preserve">        100608 Non-Hazardous Waste - Spent linings and refractories</t>
  </si>
  <si>
    <t xml:space="preserve">        100699 Non-Hazardous Waste - Wastes not otherwise specified</t>
  </si>
  <si>
    <t xml:space="preserve">        100701 Non-Hazardous Waste - Slags (first and second smelting)</t>
  </si>
  <si>
    <t xml:space="preserve">        100702 Non-Hazardous Waste - Dross and skimmings (first and second smelting)</t>
  </si>
  <si>
    <t xml:space="preserve">        100703 Non-Hazardous Waste - Solid waste from gas treatment</t>
  </si>
  <si>
    <t xml:space="preserve">        100704 Non-Hazardous Waste - Other particulates and dust</t>
  </si>
  <si>
    <t xml:space="preserve">        100705 Non-Hazardous Waste - Sludges from gas treatment</t>
  </si>
  <si>
    <t xml:space="preserve">        100706 Non-Hazardous Waste - Spent linings and refractories</t>
  </si>
  <si>
    <t xml:space="preserve">        100799 Non-Hazardous Waste - Wastes not otherwise specified</t>
  </si>
  <si>
    <t xml:space="preserve">        100801 Non-Hazardous Waste - Slags (first and second smelting)</t>
  </si>
  <si>
    <t xml:space="preserve">        100802 Non-Hazardous Waste - Dross and skimmings (first and second smelting)</t>
  </si>
  <si>
    <t xml:space="preserve">        100803 Non-Hazardous Waste - Flue gas dust</t>
  </si>
  <si>
    <t xml:space="preserve">        100804 Non-Hazardous Waste - Other particulates and dust</t>
  </si>
  <si>
    <t xml:space="preserve">        100805 Non-Hazardous Waste - Solid waste from gas treatment</t>
  </si>
  <si>
    <t xml:space="preserve">        100806 Non-Hazardous Waste - Sludges from gas treatment</t>
  </si>
  <si>
    <t xml:space="preserve">        100807 Non-Hazardous Waste - Spent linings and refractories</t>
  </si>
  <si>
    <t xml:space="preserve">        100899 Non-Hazardous Waste - Wastes not otherwise specified</t>
  </si>
  <si>
    <t xml:space="preserve">        100901 Non-Hazardous Waste - Casting cores and moulds containing organic binders which have not undergone pouring</t>
  </si>
  <si>
    <t xml:space="preserve">        100902 Non-Hazardous Waste - Casting cores and moulds containing organic binders which have undergone pouring</t>
  </si>
  <si>
    <t xml:space="preserve">        100903 Non-Hazardous Waste - Furnace slag</t>
  </si>
  <si>
    <t xml:space="preserve">        100904 Non-Hazardous Waste - Furnace dust</t>
  </si>
  <si>
    <t xml:space="preserve">        100999 Non-Hazardous Waste - Wastes not otherwise specified</t>
  </si>
  <si>
    <t xml:space="preserve">        101001 Non-Hazardous Waste - Casting cores and moulds containing organic binders which have not undergone pouring</t>
  </si>
  <si>
    <t xml:space="preserve">        101002 Non-Hazardous Waste - Casting cores and moulds containing organic binders which have undergone pouring</t>
  </si>
  <si>
    <t xml:space="preserve">        101003 Non-Hazardous Waste - Furnace slag</t>
  </si>
  <si>
    <t xml:space="preserve">        101004 Non-Hazardous Waste - Furnace dust</t>
  </si>
  <si>
    <t xml:space="preserve">        101099 Non-Hazardous Waste - Wastes not otherwise specified</t>
  </si>
  <si>
    <t xml:space="preserve">        101101 Non-Hazardous Waste - Waste preparation mixture before thermal processing</t>
  </si>
  <si>
    <t xml:space="preserve">        101102 Non-Hazardous Waste - Waste glass</t>
  </si>
  <si>
    <t xml:space="preserve">        101103 Non-Hazardous Waste - Waste glass-based fibrous materials</t>
  </si>
  <si>
    <t xml:space="preserve">        101104 Non-Hazardous Waste - Flue gas dust</t>
  </si>
  <si>
    <t xml:space="preserve">        101105 Non-Hazardous Waste - Other particulates and dust</t>
  </si>
  <si>
    <t xml:space="preserve">        101106 Non-Hazardous Waste - Solid waste from gas treatment</t>
  </si>
  <si>
    <t xml:space="preserve">        101107 Non-Hazardous Waste - Sludges from gas treatment</t>
  </si>
  <si>
    <t xml:space="preserve">        101108 Non-Hazardous Waste - Spent linings and refractories</t>
  </si>
  <si>
    <t xml:space="preserve">        101199 Non-Hazardous Waste - Wastes not otherwise specified</t>
  </si>
  <si>
    <t xml:space="preserve">        101201 Non-Hazardous Waste - Waste preparation mixture before thermal processing</t>
  </si>
  <si>
    <t xml:space="preserve">        101202 Non-Hazardous Waste - Flue gas dust</t>
  </si>
  <si>
    <t xml:space="preserve">        101203 Non-Hazardous Waste - Other particulates and dust</t>
  </si>
  <si>
    <t xml:space="preserve">        101204 Non-Hazardous Waste - Solid waste from gas treatment</t>
  </si>
  <si>
    <t xml:space="preserve">        101205 Non-Hazardous Waste - Sludges from gas treatment</t>
  </si>
  <si>
    <t xml:space="preserve">        101206 Non-Hazardous Waste - Discarded moulds</t>
  </si>
  <si>
    <t xml:space="preserve">        101207 Non-Hazardous Waste - Spent linings and refractories</t>
  </si>
  <si>
    <t xml:space="preserve">        101299 Non-Hazardous Waste - Wastes not otherwise specified</t>
  </si>
  <si>
    <t xml:space="preserve">        101301 Non-Hazardous Waste - Waste preparation mixture before thermal processing</t>
  </si>
  <si>
    <t xml:space="preserve">        101302 Non-Hazardous Waste - Waste from asbestos-cement manufacture</t>
  </si>
  <si>
    <t xml:space="preserve">        101303 Non-Hazardous Waste - Waste from other cement-based composite materials</t>
  </si>
  <si>
    <t xml:space="preserve">        101304 Non-Hazardous Waste - Waste from calcination and hydration of lime</t>
  </si>
  <si>
    <t xml:space="preserve">        101305 Non-Hazardous Waste - Solid waste from gas treatment</t>
  </si>
  <si>
    <t xml:space="preserve">        101306 Non-Hazardous Waste - Other particulates and dust</t>
  </si>
  <si>
    <t xml:space="preserve">        101307 Non-Hazardous Waste - Sludges from gas treatment</t>
  </si>
  <si>
    <t xml:space="preserve">        101308 Non-Hazardous Waste - Spent linings and refractories</t>
  </si>
  <si>
    <t xml:space="preserve">        101399 Non-Hazardous Waste - Wastes not otherwise specified</t>
  </si>
  <si>
    <t xml:space="preserve">        110104 Non-Hazardous Waste - Cyanide-free wastes not containing chromium</t>
  </si>
  <si>
    <t xml:space="preserve">        110201 Non-Hazardous Waste - Sludges from copper hydrometallurgy</t>
  </si>
  <si>
    <t xml:space="preserve">        110203 Non-Hazardous Waste - Waste from the production of anodes for aqueous electrolytical processes</t>
  </si>
  <si>
    <t xml:space="preserve">        110204 Non-Hazardous Waste - Sludges not otherwise specified</t>
  </si>
  <si>
    <t xml:space="preserve">        110401 Non-Hazardous Waste - Other inorganic metal-containing wastes not otherwise specified</t>
  </si>
  <si>
    <t xml:space="preserve">        120101 Non-Hazardous Waste - Ferrous metal filings and turnings</t>
  </si>
  <si>
    <t xml:space="preserve">        120102 Non-Hazardous Waste - Other ferrous metal particles</t>
  </si>
  <si>
    <t xml:space="preserve">        120103 Non-Hazardous Waste - Non-ferrous metal filings and turnings</t>
  </si>
  <si>
    <t xml:space="preserve">        120104 Non-Hazardous Waste - Other non-ferrous metal particles</t>
  </si>
  <si>
    <t xml:space="preserve">        120105 Non-Hazardous Waste - Plastics particles</t>
  </si>
  <si>
    <t xml:space="preserve">        120113 Non-Hazardous Waste - Welding waste</t>
  </si>
  <si>
    <t xml:space="preserve">        120199 Non-Hazardous Waste - Wastes not otherwise specified</t>
  </si>
  <si>
    <t xml:space="preserve">        120201 Non-Hazardous Waste - Spent blasting grit</t>
  </si>
  <si>
    <t xml:space="preserve">        120202 Non-Hazardous Waste - Sludges from grinding, honing and lapping</t>
  </si>
  <si>
    <t xml:space="preserve">        120203 Non-Hazardous Waste - Polishing sludges</t>
  </si>
  <si>
    <t xml:space="preserve">        120299 Non-Hazardous Waste - Wastes not otherwise specified</t>
  </si>
  <si>
    <t xml:space="preserve">        140501 Non-Hazardous Waste - Chlorofluorocarbons</t>
  </si>
  <si>
    <t xml:space="preserve">        140502 Non-Hazardous Waste - Halogenated solvents and solvent mixes</t>
  </si>
  <si>
    <t xml:space="preserve">        140503 Non-Hazardous Waste - Other solvents and solvent mixes</t>
  </si>
  <si>
    <t xml:space="preserve">        140504 Non-Hazardous Waste - Sludges containing halogenated solvents</t>
  </si>
  <si>
    <t xml:space="preserve">        140505 Non-Hazardous Waste - Sludges containing other solvents</t>
  </si>
  <si>
    <t xml:space="preserve">        150101 Non-Hazardous Waste - Paper and cardboard packaging</t>
  </si>
  <si>
    <t xml:space="preserve">        150102 Non-Hazardous Waste - Plastic packaging</t>
  </si>
  <si>
    <t xml:space="preserve">        150103 Non-Hazardous Waste - Wooden packaging</t>
  </si>
  <si>
    <t xml:space="preserve">        150104 Non-Hazardous Waste - Metallic packaging</t>
  </si>
  <si>
    <t xml:space="preserve">        150105 Non-Hazardous Waste - Composite packaging</t>
  </si>
  <si>
    <t xml:space="preserve">        150106 Non-Hazardous Waste - Mixed packaging</t>
  </si>
  <si>
    <t xml:space="preserve">        150107 Non-Hazardous Waste - Glass packaging</t>
  </si>
  <si>
    <t xml:space="preserve">        150203 Non-Hazardous Waste - Other absorbents, filter materials , wiping cloths and protective clothing</t>
  </si>
  <si>
    <t xml:space="preserve">        160103 Non-Hazardous Waste - End-of-life tyres</t>
  </si>
  <si>
    <t xml:space="preserve">        160104 Non-Hazardous Waste - Discarded vehicles</t>
  </si>
  <si>
    <t xml:space="preserve">        160106 Non-Hazardous Waste - End-of-life vehicles, drained of liquids and emptied of other hazardous components</t>
  </si>
  <si>
    <t xml:space="preserve">        160199 Non-Hazardous Waste - Wastes not otherwise specified</t>
  </si>
  <si>
    <t xml:space="preserve">        160214 Non-Hazardous Waste - Other iscarded equipments</t>
  </si>
  <si>
    <t xml:space="preserve">        160216 Non-Hazardous Waste - Other components removed from discarded equipment</t>
  </si>
  <si>
    <t xml:space="preserve">        160301 Non-Hazardous Waste - Inorganic off-specification batches</t>
  </si>
  <si>
    <t xml:space="preserve">        160302 Non-Hazardous Waste - Organic off-specification batches</t>
  </si>
  <si>
    <t xml:space="preserve">        160501 Non-Hazardous Waste - Industrial gases in high pressure cylinders, LPG containers and industrial aerosol containers (including halons)</t>
  </si>
  <si>
    <t xml:space="preserve">        160502 Non-Hazardous Waste - Other waste containing inorganic chemicals, e.g. lab chemicals not otherwise specified, fire extinguishing powders</t>
  </si>
  <si>
    <t xml:space="preserve">        160503 Non-Hazardous Waste - Other waste containing organic chemicals, e.g. lab chemicals not otherwise specified</t>
  </si>
  <si>
    <t xml:space="preserve">        160604 Non-Hazardous Waste - Alkaline batteries (except mercury-containing batteries)</t>
  </si>
  <si>
    <t xml:space="preserve">        160605 Non-Hazardous Waste - Other batteries and accumulators</t>
  </si>
  <si>
    <t xml:space="preserve">        160707 Non-Hazardous Waste - Solid waste from ship cargoes</t>
  </si>
  <si>
    <t xml:space="preserve">        160799 Non-Hazardous Waste - Wastes not otherwise specified</t>
  </si>
  <si>
    <t xml:space="preserve">        160801 Non-Hazardous Waste - Spent catalysts containing gold, silver, rhenium, rhodium, palladium, iridium or platinum (except spent catalysts contaminated with dangerous substances)</t>
  </si>
  <si>
    <t xml:space="preserve">        160803 Non-Hazardous Waste - Spent catalysts containing other transition metals or transition metal compounds (except spent catalysts contaminated with dangerous substances)</t>
  </si>
  <si>
    <t xml:space="preserve">        160804 Non-Hazardous Waste - Spent fluid catalytic cracking catalysts</t>
  </si>
  <si>
    <t xml:space="preserve">        170101 Non-Hazardous Waste - Concrete</t>
  </si>
  <si>
    <t xml:space="preserve">        170102 Non-Hazardous Waste - Bricks</t>
  </si>
  <si>
    <t xml:space="preserve">        170103 Non-Hazardous Waste - Tiles and ceramics</t>
  </si>
  <si>
    <t xml:space="preserve">        170104 Non-Hazardous Waste - Gypsum-based construction materials</t>
  </si>
  <si>
    <t xml:space="preserve">        170105 Non-Hazardous Waste - Asbestos-based construction materials</t>
  </si>
  <si>
    <t xml:space="preserve">        170201 Non-Hazardous Waste - Wood</t>
  </si>
  <si>
    <t xml:space="preserve">        170202 Non-Hazardous Waste - Glass</t>
  </si>
  <si>
    <t xml:space="preserve">        170203 Non-Hazardous Waste - Plastic</t>
  </si>
  <si>
    <t xml:space="preserve">        170301 Non-Hazardous Waste - Asphalt containing tar</t>
  </si>
  <si>
    <t xml:space="preserve">        170302 Non-Hazardous Waste - Asphalt not containing tar</t>
  </si>
  <si>
    <t xml:space="preserve">        170303 Non-Hazardous Waste - Tar and tar products</t>
  </si>
  <si>
    <t xml:space="preserve">        170401 Non-Hazardous Waste - Copper, bronze, brass</t>
  </si>
  <si>
    <t xml:space="preserve">        170402 Non-Hazardous Waste - Aluminium</t>
  </si>
  <si>
    <t xml:space="preserve">        170403 Non-Hazardous Waste - Lead</t>
  </si>
  <si>
    <t xml:space="preserve">        170404 Non-Hazardous Waste - Zinc</t>
  </si>
  <si>
    <t xml:space="preserve">        170405 Non-Hazardous Waste - Iron and steel</t>
  </si>
  <si>
    <t xml:space="preserve">        170406 Non-Hazardous Waste - Tin</t>
  </si>
  <si>
    <t xml:space="preserve">        170407 Non-Hazardous Waste - Mixed metals</t>
  </si>
  <si>
    <t xml:space="preserve">        170408 Non-Hazardous Waste - Cables</t>
  </si>
  <si>
    <t xml:space="preserve">        170504 Non-Hazardous Waste - Other soil and stones</t>
  </si>
  <si>
    <t xml:space="preserve">        170506 Non-Hazardous Waste - Other dredging spoils</t>
  </si>
  <si>
    <t xml:space="preserve">        170602 Non-Hazardous Waste - Other insulation materials</t>
  </si>
  <si>
    <t xml:space="preserve">        180101 Non-Hazardous Waste - Sharps (except waste whose collection and disposal is subject to special requirements in view of the prevention of infection)</t>
  </si>
  <si>
    <t xml:space="preserve">        180102 Non-Hazardous Waste - Body parts and organs including blood bags and blood preserves (except waste whose collection and disposal is subject to special requirements in view of the prevention of infection)</t>
  </si>
  <si>
    <t xml:space="preserve">        180104 Non-Hazardous Waste - Waste whose collection and disposal is not subject to special requirements in view of the prevention of infection, (e.g. dressings, plaster casts, linen, disposable clothing, diapers)</t>
  </si>
  <si>
    <t xml:space="preserve">        180201 Non-Hazardous Waste - Sharps (except waste whose collection and disposal is subject to special requirements in view of the prevention of infection)</t>
  </si>
  <si>
    <t xml:space="preserve">        180203 Non-Hazardous Waste - Waste whose collection and disposal is not subject to special requirements in view of the prevention of infection</t>
  </si>
  <si>
    <t xml:space="preserve">        190102 Non-Hazardous Waste - Ferrous materials removed from bottom ash</t>
  </si>
  <si>
    <t xml:space="preserve">        190199 Non-Hazardous Waste - Wastes not otherwise specified</t>
  </si>
  <si>
    <t xml:space="preserve">        190203 Non-Hazardous Waste - Premixed waste composed only of wastes not marked as hazardous</t>
  </si>
  <si>
    <t xml:space="preserve">        190401 Non-Hazardous Waste - Vitrified waste</t>
  </si>
  <si>
    <t xml:space="preserve">        190404 Non-Hazardous Waste - Aqueous liquid waste from vitrified waste tempering</t>
  </si>
  <si>
    <t xml:space="preserve">        190501 Non-Hazardous Waste - Non-composted fraction of municipal and similar waste</t>
  </si>
  <si>
    <t xml:space="preserve">        190502 Non-Hazardous Waste - Non-composted fraction of animal and vegetable waste</t>
  </si>
  <si>
    <t xml:space="preserve">        190503 Non-Hazardous Waste - Off-specification compost</t>
  </si>
  <si>
    <t xml:space="preserve">        190599 Non-Hazardous Waste - Wastes not otherwise specified</t>
  </si>
  <si>
    <t xml:space="preserve">        190601 Non-Hazardous Waste - Anaerobic treatment sludges of municipal and similar waste</t>
  </si>
  <si>
    <t xml:space="preserve">        190602 Non-Hazardous Waste - Anaerobic treatment sludges of animal and vegetal waste</t>
  </si>
  <si>
    <t xml:space="preserve">        190699 Non-Hazardous Waste - Wastes not otherwise specified</t>
  </si>
  <si>
    <t xml:space="preserve">        190701 Non-Hazardous Waste - Landfill leachate</t>
  </si>
  <si>
    <t xml:space="preserve">        190801 Non-Hazardous Waste - Screenings</t>
  </si>
  <si>
    <t xml:space="preserve">        190802 Non-Hazardous Waste - Waste from desanding</t>
  </si>
  <si>
    <t xml:space="preserve">        190804 Non-Hazardous Waste - Sludges from the treatment of industrial waste water</t>
  </si>
  <si>
    <t xml:space="preserve">        190805 Non-Hazardous Waste - Sludges from treatment of urban waste water</t>
  </si>
  <si>
    <t xml:space="preserve">        190899 Non-Hazardous Waste - Wastes not otherwise specified</t>
  </si>
  <si>
    <t xml:space="preserve">        190901 Non-Hazardous Waste - Solid waste from primary filtration and screenings</t>
  </si>
  <si>
    <t xml:space="preserve">        190902 Non-Hazardous Waste - Sludges from water clarification</t>
  </si>
  <si>
    <t xml:space="preserve">        190903 Non-Hazardous Waste - Sludges from decarbonation</t>
  </si>
  <si>
    <t xml:space="preserve">        190904 Non-Hazardous Waste - Spent activated carbon</t>
  </si>
  <si>
    <t xml:space="preserve">        190905 Non-Hazardous Waste - Saturated or spent ion exchange resins</t>
  </si>
  <si>
    <t xml:space="preserve">        190906 Non-Hazardous Waste - Solutions and sludges from regeneration of ion exchangers</t>
  </si>
  <si>
    <t xml:space="preserve">        190999 Non-Hazardous Waste - Wastes not otherwise specified</t>
  </si>
  <si>
    <t xml:space="preserve">        191001 Non-Hazardous Waste - Iron and steel waste</t>
  </si>
  <si>
    <t xml:space="preserve">        191002 Non-Hazardous Waste - Non-ferrous waste</t>
  </si>
  <si>
    <t xml:space="preserve">        191004 Non-Hazardous Waste - Other fluffs — light fractions</t>
  </si>
  <si>
    <t xml:space="preserve">        191006 Non-Hazardous Waste - Other dusts and other fractions</t>
  </si>
  <si>
    <t xml:space="preserve">        200101 Non-Hazardous Waste - Paper and cardboard</t>
  </si>
  <si>
    <t xml:space="preserve">        200102 Non-Hazardous Waste - Glass</t>
  </si>
  <si>
    <t xml:space="preserve">        200103 Non-Hazardous Waste - Small plastics</t>
  </si>
  <si>
    <t xml:space="preserve">        200104 Non-Hazardous Waste - Other plastics</t>
  </si>
  <si>
    <t xml:space="preserve">        200105 Non-Hazardous Waste - Small metals (cans, etc.)</t>
  </si>
  <si>
    <t xml:space="preserve">        200106 Non-Hazardous Waste - Other metals</t>
  </si>
  <si>
    <t xml:space="preserve">        200107 Non-Hazardous Waste - Wood</t>
  </si>
  <si>
    <t xml:space="preserve">        200108 Non-Hazardous Waste - Organic kitchen waste</t>
  </si>
  <si>
    <t xml:space="preserve">        200110 Non-Hazardous Waste - Clothes</t>
  </si>
  <si>
    <t xml:space="preserve">        200111 Non-Hazardous Waste - Textiles</t>
  </si>
  <si>
    <t xml:space="preserve">        200122 Non-Hazardous Waste - Aerosols</t>
  </si>
  <si>
    <t xml:space="preserve">        200125 Non-Hazardous Waste - Edible oil and fat</t>
  </si>
  <si>
    <t xml:space="preserve">        200128 Non-Hazardous Waste - Other paints, inks, adhesives and resins</t>
  </si>
  <si>
    <t xml:space="preserve">        200130 Non-Hazardous Waste - Other detergents</t>
  </si>
  <si>
    <t xml:space="preserve">        200132 Non-Hazardous Waste - Other medicines</t>
  </si>
  <si>
    <t xml:space="preserve">        200201 Non-Hazardous Waste - Compostable waste</t>
  </si>
  <si>
    <t xml:space="preserve">        200202 Non-Hazardous Waste - Soil and stones</t>
  </si>
  <si>
    <t xml:space="preserve">        200203 Non-Hazardous Waste - Other non-compostable wastes</t>
  </si>
  <si>
    <t xml:space="preserve">        200301 Non-Hazardous Waste - Mixed municipal waste</t>
  </si>
  <si>
    <t xml:space="preserve">        200302 Non-Hazardous Waste - Waste from markets</t>
  </si>
  <si>
    <t xml:space="preserve">        200303 Non-Hazardous Waste - Street cleaning residues</t>
  </si>
  <si>
    <t xml:space="preserve">        200304 Non-Hazardous Waste - Septic tank sludge</t>
  </si>
  <si>
    <t xml:space="preserve">    0101 Wastes from mineral excavation</t>
  </si>
  <si>
    <t xml:space="preserve">    0102 Wastes from mineral dressing</t>
  </si>
  <si>
    <t xml:space="preserve">    0103 Wastes from further physical and chemical processing of metalliferous minerals</t>
  </si>
  <si>
    <t xml:space="preserve">    0104 Wastes from further physical and chemical processing on non-metalliferous minerals</t>
  </si>
  <si>
    <t xml:space="preserve">    0105 Drilling muds and other drilling wastes</t>
  </si>
  <si>
    <t xml:space="preserve">    0201 Primary production wastes</t>
  </si>
  <si>
    <t xml:space="preserve">    0202 Wastes from the preparation and processing of meat, fish and other foods of animal origin</t>
  </si>
  <si>
    <t xml:space="preserve">    0203 Wastes from fruit, vegetables, cereals, edible oils, cocoa, coffee and tobacco preparation and processing; tobacco processing; conserve production</t>
  </si>
  <si>
    <t xml:space="preserve">    0204 Wastes from sugar processing</t>
  </si>
  <si>
    <t xml:space="preserve">    0205 Wastes from the dairy products industry</t>
  </si>
  <si>
    <t xml:space="preserve">    0206 Wastes from the baking and confectionery industry</t>
  </si>
  <si>
    <t xml:space="preserve">    0207 Wastes from the production of alcoholic and non-alcoholic beverages (except coffee, tea and cocoa)</t>
  </si>
  <si>
    <t xml:space="preserve">    0301 Wastes from wood processing and the production of panels and furniture</t>
  </si>
  <si>
    <t xml:space="preserve">    0302 Wood preservation wastes</t>
  </si>
  <si>
    <t xml:space="preserve">    0303 Wastes from pulp, paper and cardboard production and processing</t>
  </si>
  <si>
    <t xml:space="preserve">    0401 Wastes from the leather and fur industry</t>
  </si>
  <si>
    <t xml:space="preserve">    0402 Wastes from the textile industry</t>
  </si>
  <si>
    <t xml:space="preserve">    0501 Oily sludges and solid wastes</t>
  </si>
  <si>
    <t xml:space="preserve">    0502 Non oily sludges and solid wastes</t>
  </si>
  <si>
    <t xml:space="preserve">    0504 Spent filter clays</t>
  </si>
  <si>
    <t xml:space="preserve">    0505 Oil desulphurisation wastes</t>
  </si>
  <si>
    <t xml:space="preserve">    0506 Wastes from the pyrolytic treatment of coal</t>
  </si>
  <si>
    <t xml:space="preserve">    0507 Wastes from natural gas purification</t>
  </si>
  <si>
    <t xml:space="preserve">    0508 Wastes from oil regeneration</t>
  </si>
  <si>
    <t xml:space="preserve">    0601 Waste acidic solutions</t>
  </si>
  <si>
    <t xml:space="preserve">    0602 Waste alkaline solutions</t>
  </si>
  <si>
    <t xml:space="preserve">    0603 Waste salts and their solutions</t>
  </si>
  <si>
    <t xml:space="preserve">    0604 Metal-containing wastes</t>
  </si>
  <si>
    <t xml:space="preserve">    0605 Sludges from on-site effluent treatment</t>
  </si>
  <si>
    <t xml:space="preserve">    0606 Wastes from sulphur chemical processes (production and transformation) and desulphurisation processes</t>
  </si>
  <si>
    <t xml:space="preserve">    0607 Wastes from halogen chemical processes</t>
  </si>
  <si>
    <t xml:space="preserve">    0608 Waste from production of silicon and silicon derivatives</t>
  </si>
  <si>
    <t xml:space="preserve">    0609 Wastes from phosphorus chemical processes</t>
  </si>
  <si>
    <t xml:space="preserve">    0610 Waste from nitrogen chemical processes and fertiliser manufacture</t>
  </si>
  <si>
    <t xml:space="preserve">    0611 Waste from the manufacture of inorganic pigments and opacificiers</t>
  </si>
  <si>
    <t xml:space="preserve">    0613 Wastes from other inorganic chemical processes</t>
  </si>
  <si>
    <t xml:space="preserve">    0701 Wastes from the manufacture, formulation, supply and use (MFSU) of basic organic chemicals</t>
  </si>
  <si>
    <t xml:space="preserve">    0702 Wastes from the MFSU of plastics, synthetic rubber and man-made fibres</t>
  </si>
  <si>
    <t xml:space="preserve">    0703 Wastes from the MFSU of organic dyes and pigments (except waste from the manufacture of inorganic pigments and opacificiers)</t>
  </si>
  <si>
    <t xml:space="preserve">    0704 Wastes from the MFSU of organic pesticides (except agrochemical wastes)</t>
  </si>
  <si>
    <t xml:space="preserve">    0705 Wastes from the MFSU of pharmaceuticals</t>
  </si>
  <si>
    <t xml:space="preserve">    0706 Wastes from the MFSU of fats, grease, soaps, detergents disinfectants and cosmetics</t>
  </si>
  <si>
    <t xml:space="preserve">    0707 Wastes from the MFSU of fine chemicals and chemical products not otherwise specified</t>
  </si>
  <si>
    <t xml:space="preserve">    0801 Wastes from MFSU and removal of paint and varnish</t>
  </si>
  <si>
    <t xml:space="preserve">    0802 Wastes from MFSU of other coatings (including ceramic materials)</t>
  </si>
  <si>
    <t xml:space="preserve">    0803 Wastes from MFSU of printing inks</t>
  </si>
  <si>
    <t xml:space="preserve">    0804 Wastes from MFSU of adhesives and sealants (including waterproofing products)</t>
  </si>
  <si>
    <t xml:space="preserve">    0805 Wastes not otherwise specified</t>
  </si>
  <si>
    <t xml:space="preserve">    0901 Wastes from the photographic industry</t>
  </si>
  <si>
    <t xml:space="preserve">    1001 Wastes from power stations and other combustion plants (except wastes from waste treatment facilities, off-site waste water treatment plants and the water industry)</t>
  </si>
  <si>
    <t xml:space="preserve">    1002 Wastes from the iron and steel industry</t>
  </si>
  <si>
    <t xml:space="preserve">    1003 Wastes from aluminium thermal metallurgy</t>
  </si>
  <si>
    <t xml:space="preserve">    1004 Wastes from lead thermal metallurgy</t>
  </si>
  <si>
    <t xml:space="preserve">    1005 Wastes from zinc thermal metallurgy</t>
  </si>
  <si>
    <t xml:space="preserve">    1006 Wastes from copper thermal metallurgy</t>
  </si>
  <si>
    <t xml:space="preserve">    1007 Wastes from silver, gold and platinum thermal metallurgy</t>
  </si>
  <si>
    <t xml:space="preserve">    1008 Wastes from other non-ferrous thermal metallurgy</t>
  </si>
  <si>
    <t xml:space="preserve">    1009 Wastes from casting of ferrous pieces</t>
  </si>
  <si>
    <t xml:space="preserve">    1010 Wastes from casting of non-ferrous pieces</t>
  </si>
  <si>
    <t xml:space="preserve">    1011 Wastes from manufacture of glass and glass products</t>
  </si>
  <si>
    <t xml:space="preserve">    1012 Wastes from manufacture of ceramic goods, bricks, tiles and construction products</t>
  </si>
  <si>
    <t xml:space="preserve">    1013 Wastes from manufacture of cement, lime and plaster and articles and products made from them</t>
  </si>
  <si>
    <t xml:space="preserve">    1101 Liquid wastes and sludges from metal treatment and coating of metals, (e.g. galvanic processes, zinc coating processes, pickling processes, etching, phosphatising, alkaline degreasing)</t>
  </si>
  <si>
    <t xml:space="preserve">    1102 Wastes and sludges from non-ferrous hydrometallurgical processes</t>
  </si>
  <si>
    <t xml:space="preserve">    1103 Sludges and solids from tempering processes</t>
  </si>
  <si>
    <t xml:space="preserve">    1104 Other inorganic metal-containing wastes not otherwise specified</t>
  </si>
  <si>
    <t xml:space="preserve">    1201 Wastes from shaping (including forgoing, welding, pressing, drawing, turning, cutting and filing)</t>
  </si>
  <si>
    <t xml:space="preserve">    1202 Wastes from mechanical surface treatment processes (blasting, grinding, honing, lapping, polishing)</t>
  </si>
  <si>
    <t xml:space="preserve">    1203 Wastes from water and steam degreasing processes (except inorganic metal-containing wastes from metal treatment and the coating of metals, and non-ferrous hydrometallurgy)</t>
  </si>
  <si>
    <t xml:space="preserve">    1301 Waste hydraulic oils and brake fluids</t>
  </si>
  <si>
    <t xml:space="preserve">    1302 Waste engine, gear and lubricating oils</t>
  </si>
  <si>
    <t xml:space="preserve">    1303 Waste insulating and heat transmission oils and other liquids</t>
  </si>
  <si>
    <t xml:space="preserve">    1304 Bilge oils</t>
  </si>
  <si>
    <t xml:space="preserve">    1305 Oil/water separator contents</t>
  </si>
  <si>
    <t xml:space="preserve">    1306 Oil waste not otherwise specified</t>
  </si>
  <si>
    <t xml:space="preserve">    1401 Wastes from metal degreasing and machinery maintenance</t>
  </si>
  <si>
    <t xml:space="preserve">    1402 Wastes from textile cleaning and degreasing of natural products</t>
  </si>
  <si>
    <t xml:space="preserve">    1403 Wastes from the electronic industry</t>
  </si>
  <si>
    <t xml:space="preserve">    1404 Wastes from coolants, foam/aerosol propellents</t>
  </si>
  <si>
    <t xml:space="preserve">    1405 Wastes from solvent and coolant recovery (still bottoms)</t>
  </si>
  <si>
    <t xml:space="preserve">    1501 Packaging</t>
  </si>
  <si>
    <t xml:space="preserve">    1502 Absorbents, filter materials, wiping cloths and protective clothing</t>
  </si>
  <si>
    <t xml:space="preserve">    1601 End-of-life vehicles and their components</t>
  </si>
  <si>
    <t xml:space="preserve">    1602 Discarded equipment and its components</t>
  </si>
  <si>
    <t xml:space="preserve">    1603 Off-specification batches</t>
  </si>
  <si>
    <t xml:space="preserve">    1604 Waste explosives</t>
  </si>
  <si>
    <t xml:space="preserve">    1605 Chemicals and gases in containers</t>
  </si>
  <si>
    <t xml:space="preserve">    1606 Batteries and accumulators</t>
  </si>
  <si>
    <t xml:space="preserve">    1607 Wastes from transport and storage tank cleaning (except wastes from petroleum refining, natural gas purification and pyrolytic treatment of coal and wastes from shaping and surface treatment of metals and plastics)</t>
  </si>
  <si>
    <t xml:space="preserve">    1608 Spent catalysts</t>
  </si>
  <si>
    <t xml:space="preserve">    1701 Concrete, bricks, tiles, ceramics, and gypsum-based materials</t>
  </si>
  <si>
    <t xml:space="preserve">    1702 Wood, glass and plastic</t>
  </si>
  <si>
    <t xml:space="preserve">    1703 Asphalt, tar and tarred products</t>
  </si>
  <si>
    <t xml:space="preserve">    1704 Metals (including their alloys)</t>
  </si>
  <si>
    <t xml:space="preserve">    1705 Soil and dredging spoil</t>
  </si>
  <si>
    <t xml:space="preserve">    1706 Insulation materials</t>
  </si>
  <si>
    <t xml:space="preserve">    1707 Mixed construction and demolition waste</t>
  </si>
  <si>
    <t xml:space="preserve">    1801 Wastes from natal care, diagnosis, treatment or prevention of disease in humans</t>
  </si>
  <si>
    <t xml:space="preserve">    1802 Wastes from research, diagnosis, treatment or prevention of disease involving animals</t>
  </si>
  <si>
    <t xml:space="preserve">        180208 Non-Hazardous Waste - Medicines other than cytotoxic and cytostatic medicines</t>
  </si>
  <si>
    <t xml:space="preserve">    1901 Wastes from incineration or pyrolysis of waste</t>
  </si>
  <si>
    <t xml:space="preserve">    1902 Wastes from specific physico/chemical treatments of industrial waste, (e.g. dechromatation, decyanidation, neutralisation)</t>
  </si>
  <si>
    <t xml:space="preserve">    1903 Stabilised/solidified wastes</t>
  </si>
  <si>
    <t xml:space="preserve">    1904 Vitrified waste and wastes from vitrification</t>
  </si>
  <si>
    <t xml:space="preserve">    1905 Wastes from aerobic treatment of solid wastes</t>
  </si>
  <si>
    <t xml:space="preserve">    1906 Wastes from anaerobic treatment of waste</t>
  </si>
  <si>
    <t xml:space="preserve">    1907 Landfill leachate</t>
  </si>
  <si>
    <t xml:space="preserve">    1908 Wastes from waste water treatment plants not otherwise specified</t>
  </si>
  <si>
    <t xml:space="preserve">    1909 Wastes from the preparation of drinking water or water for industrial use</t>
  </si>
  <si>
    <t xml:space="preserve">    1910 Wastes from shredding of metal-containing waste</t>
  </si>
  <si>
    <t xml:space="preserve">    2001 Separately collected fractions</t>
  </si>
  <si>
    <t xml:space="preserve">    2002 Garden and park wastes (including cemetery waste)</t>
  </si>
  <si>
    <t xml:space="preserve">    2003 Other municipal wastes</t>
  </si>
  <si>
    <t xml:space="preserve">        200136 Non-Hazardous Waste - Discarded equipment other than fluorescent tubes and other mercury-containing waste and discarded equipment containing chlorofluorocarbons</t>
  </si>
  <si>
    <t>Air</t>
  </si>
  <si>
    <t>[+]</t>
  </si>
  <si>
    <t>Validation OK</t>
  </si>
  <si>
    <t>B2</t>
  </si>
  <si>
    <t>Pollution</t>
  </si>
  <si>
    <t xml:space="preserve">        170703 Non-Hazardous Waste - Mixed construction and demolition waste other than mixed construction and demolition waste or separated fractions containing dangerous substances</t>
  </si>
  <si>
    <t xml:space="preserve">        180107 Non-Hazardous Waste - Chemicals other than chemicals consisting of or containing dangerous substances</t>
  </si>
  <si>
    <t xml:space="preserve">        180109 Non-Hazardous Waste - Medicines other than cytotoxic and cytostatic medicines</t>
  </si>
  <si>
    <t xml:space="preserve">        180206 Non-Hazardous Waste - Chemicals other than chemicals consisting of or containing dangerous substances</t>
  </si>
  <si>
    <t xml:space="preserve">        190112 Non-Hazardous Waste - Bottom ash and slag other than bottom ash and slag containing dangerous substances</t>
  </si>
  <si>
    <t xml:space="preserve">        190114 Non-Hazardous Waste - Fly ash other than fly ash containing dangerous substances</t>
  </si>
  <si>
    <t xml:space="preserve">        190116 Non-Hazardous Waste - Boiler dust other than boiler dust containing dangerous substances</t>
  </si>
  <si>
    <t xml:space="preserve">        190118 Non-Hazardous Waste - Pyrolysis waste other than pyrolysis waste containing dangerous substances</t>
  </si>
  <si>
    <t xml:space="preserve">        190305 Non-Hazardous Waste - Stabilised waste other wastes marked as hazardous, partly stabilised</t>
  </si>
  <si>
    <t xml:space="preserve">        190307 Non-Hazardous Waste - Solidified waste other than wastes marked as hazardous, solidified</t>
  </si>
  <si>
    <t xml:space="preserve">        200134 Non-Hazardous Waste - Batteries and accumulators other than mixed batteries and accumulators containing batteries or accumulators included in lead batteries, Ni-Cd batteries or mercury-containing batteries</t>
  </si>
  <si>
    <t xml:space="preserve">        030101 Hazardous Waste - Waste bark and cork</t>
  </si>
  <si>
    <t xml:space="preserve">        030102 Hazardous Waste - Sawdust</t>
  </si>
  <si>
    <t xml:space="preserve">        030103 Hazardous Waste - Shaving, cuttings, spoiled timber/particle board/veneer</t>
  </si>
  <si>
    <t xml:space="preserve">        030199 Hazardous Waste - Wastes not otherwise specified</t>
  </si>
  <si>
    <t xml:space="preserve">        040103 Hazardous Waste - Degreasing waste containing solvents without a liquid phase</t>
  </si>
  <si>
    <t xml:space="preserve">        040214 Hazardous Waste - Waste from finishing containing organic solvents</t>
  </si>
  <si>
    <t xml:space="preserve">        040216 Hazardous Waste - Dyestuffs and pigments containing dangerous substances</t>
  </si>
  <si>
    <t xml:space="preserve">        040219 Hazardous Waste - Sludges from on-site effluent treatment containing dangereous substances</t>
  </si>
  <si>
    <t xml:space="preserve">        050103 Hazardous Waste - Tank bottom sludges</t>
  </si>
  <si>
    <t xml:space="preserve">        050104 Hazardous Waste - Acid alkyl sludges</t>
  </si>
  <si>
    <t xml:space="preserve">        050105 Hazardous Waste - Oil spills</t>
  </si>
  <si>
    <t xml:space="preserve">        050107 Hazardous Waste - Acid tars</t>
  </si>
  <si>
    <t xml:space="preserve">        050108 Hazardous Waste - Other tars</t>
  </si>
  <si>
    <t xml:space="preserve">        050109 Hazardous Waste - Sludges from on-site effluent treatment containing dangerous substances</t>
  </si>
  <si>
    <t xml:space="preserve">        050401 Hazardous Waste - Spent filter clays</t>
  </si>
  <si>
    <t xml:space="preserve">        050601 Hazardous Waste - Acid tars</t>
  </si>
  <si>
    <t xml:space="preserve">        050603 Hazardous Waste - Other tars</t>
  </si>
  <si>
    <t xml:space="preserve">        050701 Hazardous Waste - Sludges containing mercury</t>
  </si>
  <si>
    <t xml:space="preserve">        050801 Hazardous Waste - Spent filter clays</t>
  </si>
  <si>
    <t xml:space="preserve">        050802 Hazardous Waste - Acid tars</t>
  </si>
  <si>
    <t xml:space="preserve">        050803 Hazardous Waste - Other tars</t>
  </si>
  <si>
    <t xml:space="preserve">        050804 Hazardous Waste - Aqueous liquid waste from oil regeneration</t>
  </si>
  <si>
    <t xml:space="preserve">        050899 Hazardous Waste - Wastes not otherwise specified</t>
  </si>
  <si>
    <t xml:space="preserve">        060101 Hazardous Waste - Sulphuric acid and sulphurous acid</t>
  </si>
  <si>
    <t xml:space="preserve">        060102 Hazardous Waste - Hydrochloric acid</t>
  </si>
  <si>
    <t xml:space="preserve">        060103 Hazardous Waste - Hydrofluoric acid</t>
  </si>
  <si>
    <t xml:space="preserve">        060104 Hazardous Waste - Phosphoric and phosphorous acid</t>
  </si>
  <si>
    <t xml:space="preserve">        060105 Hazardous Waste - Nitric acid and nitrous acid</t>
  </si>
  <si>
    <t xml:space="preserve">        060199 Hazardous Waste - Wastes not otherwise specified</t>
  </si>
  <si>
    <t xml:space="preserve">        060201 Hazardous Waste - Calcium hydroxide</t>
  </si>
  <si>
    <t xml:space="preserve">        060202 Hazardous Waste - Soda</t>
  </si>
  <si>
    <t xml:space="preserve">        060203 Hazardous Waste - Ammonia</t>
  </si>
  <si>
    <t xml:space="preserve">        060299 Hazardous Waste - Waste salts and their solutions</t>
  </si>
  <si>
    <t xml:space="preserve">        060311 Hazardous Waste - Salts and solutions containing cyanides</t>
  </si>
  <si>
    <t xml:space="preserve">        060402 Hazardous Waste - Metallic salts (except waste salts and their solutions)</t>
  </si>
  <si>
    <t xml:space="preserve">        060403 Hazardous Waste - Waste containing arsenic</t>
  </si>
  <si>
    <t xml:space="preserve">        060404 Hazardous Waste - Waste containing mercury</t>
  </si>
  <si>
    <t xml:space="preserve">        060405 Hazardous Waste - Waste containing other heavy metals</t>
  </si>
  <si>
    <t xml:space="preserve">        060502 Hazardous Waste - Sludges from on-site effluent treatment containing dangerous substances</t>
  </si>
  <si>
    <t xml:space="preserve">        060701 Hazardous Waste - Waste containing asbestos from electrolysis</t>
  </si>
  <si>
    <t xml:space="preserve">        060702 Hazardous Waste - Activated carbon from chlorine production</t>
  </si>
  <si>
    <t xml:space="preserve">        061301 Hazardous Waste - Inorganic pesticides, biocides and wood preserving agents</t>
  </si>
  <si>
    <t xml:space="preserve">        061302 Hazardous Waste - Spent activated carbon (except activated carbon from chlorine production)</t>
  </si>
  <si>
    <t xml:space="preserve">        061304 Hazardous Waste - Waste from asbestos processing</t>
  </si>
  <si>
    <t xml:space="preserve">        070101 Hazardous Waste - Aqueous washing liquids and mother liquors</t>
  </si>
  <si>
    <t xml:space="preserve">        070103 Hazardous Waste - Organic halogenated solvents, washing liquids and mother liquors</t>
  </si>
  <si>
    <t xml:space="preserve">        070104 Hazardous Waste - Other organic solvents, washing liquids and mother liquors</t>
  </si>
  <si>
    <t xml:space="preserve">        070107 Hazardous Waste - Halogenated still bottoms and reaction residues</t>
  </si>
  <si>
    <t xml:space="preserve">        070108 Hazardous Waste - Other still bottoms and reaction residues</t>
  </si>
  <si>
    <t xml:space="preserve">        070109 Hazardous Waste - Halogenated filter cakes, spent absorbents</t>
  </si>
  <si>
    <t xml:space="preserve">        070110 Hazardous Waste - Other filter cakes, spent absorbents</t>
  </si>
  <si>
    <t xml:space="preserve">        070111 Hazardous Waste - Sludges from on-site effluent treatment containing dangerous substances</t>
  </si>
  <si>
    <t xml:space="preserve">        070201 Hazardous Waste - Aqueous washing liquids and mother liquors</t>
  </si>
  <si>
    <t xml:space="preserve">        070203 Hazardous Waste - Organic halogenated solvents, washing liquids and mother liquors</t>
  </si>
  <si>
    <t xml:space="preserve">        070204 Hazardous Waste - Other organic solvents, washing liquids and mother liquors</t>
  </si>
  <si>
    <t xml:space="preserve">        070207 Hazardous Waste - Halogenated still bottoms and reaction residues</t>
  </si>
  <si>
    <t xml:space="preserve">        070208 Hazardous Waste - Other still bottoms and reaction residues</t>
  </si>
  <si>
    <t xml:space="preserve">        070209 Hazardous Waste - Halogenated filter cakes, spent absorbents</t>
  </si>
  <si>
    <t xml:space="preserve">        070210 Hazardous Waste - Other filter cakes, spent absorbents</t>
  </si>
  <si>
    <t xml:space="preserve">        070211 Hazardous Waste - Sludges from on-site effluent treatment containing dangerous substances</t>
  </si>
  <si>
    <t xml:space="preserve">        070301 Hazardous Waste - Aqueous washing liquids and mother liquors</t>
  </si>
  <si>
    <t xml:space="preserve">        070303 Hazardous Waste - Organic halogenated solvents, washing liquids and mother liquors</t>
  </si>
  <si>
    <t xml:space="preserve">        070304 Hazardous Waste - Other organic solvents, washing liquids and mother liquors</t>
  </si>
  <si>
    <t xml:space="preserve">        070307 Hazardous Waste - Halogenated still bottoms and reaction residues</t>
  </si>
  <si>
    <t xml:space="preserve">        070308 Hazardous Waste - Other still bottoms and reaction residues</t>
  </si>
  <si>
    <t xml:space="preserve">        070309 Hazardous Waste - Halogenated filter cakes, spent absorbents</t>
  </si>
  <si>
    <t xml:space="preserve">        070310 Hazardous Waste - Other filter cakes, spent absorbents</t>
  </si>
  <si>
    <t xml:space="preserve">        070311 Hazardous Waste - Sludges from on-site effluent treatment containing dangerous substances</t>
  </si>
  <si>
    <t xml:space="preserve">        070401 Hazardous Waste - Aqueous washing liquids and mother liquors</t>
  </si>
  <si>
    <t xml:space="preserve">        070403 Hazardous Waste - Organic halogenated solvents, washing liquids and mother liquors</t>
  </si>
  <si>
    <t xml:space="preserve">        070404 Hazardous Waste - Other organic solvents, washing liquids and mother liquors</t>
  </si>
  <si>
    <t xml:space="preserve">        070407 Hazardous Waste - Halogenated still bottoms and reaction residues</t>
  </si>
  <si>
    <t xml:space="preserve">        070408 Hazardous Waste - Other still bottoms and reaction residues</t>
  </si>
  <si>
    <t xml:space="preserve">        070409 Hazardous Waste - Halogenated filter cakes, spent absorbents</t>
  </si>
  <si>
    <t xml:space="preserve">        070410 Hazardous Waste - Other filter cakes, spent absorbents</t>
  </si>
  <si>
    <t xml:space="preserve">        070411 Hazardous Waste - Sludges from on-site effluent treatment containing dangerous substances</t>
  </si>
  <si>
    <t xml:space="preserve">        070501 Hazardous Waste - Aqueous washing liquids and mother liquors</t>
  </si>
  <si>
    <t xml:space="preserve">        070503 Hazardous Waste - Organic halogenated solvents, washing liquids and mother liquors</t>
  </si>
  <si>
    <t xml:space="preserve">        070504 Hazardous Waste - Other organic solvents, washing liquids and mother liquors</t>
  </si>
  <si>
    <t xml:space="preserve">        070507 Hazardous Waste - Halogenated still bottoms and reaction residues</t>
  </si>
  <si>
    <t xml:space="preserve">        070508 Hazardous Waste - Other still bottoms and reaction residues</t>
  </si>
  <si>
    <t xml:space="preserve">        070509 Hazardous Waste - Halogenated filter cakes, spent absorbents</t>
  </si>
  <si>
    <t xml:space="preserve">        070510 Hazardous Waste - Other filter cakes, spent absorbents</t>
  </si>
  <si>
    <t xml:space="preserve">        070511 Hazardous Waste - Sludges from on-site effluent treatment containing dangerous substances</t>
  </si>
  <si>
    <t xml:space="preserve">        070601 Hazardous Waste - Aqueous washing liquids and mother liquors</t>
  </si>
  <si>
    <t xml:space="preserve">        070603 Hazardous Waste - Organic halogenated solvents, washing liquids and mother liquors</t>
  </si>
  <si>
    <t xml:space="preserve">        070604 Hazardous Waste - Other organic solvents, washing liquids and mother liquors</t>
  </si>
  <si>
    <t xml:space="preserve">        070607 Hazardous Waste - Halogenated still bottoms and reaction residues</t>
  </si>
  <si>
    <t xml:space="preserve">        070608 Hazardous Waste - Other still bottoms and reaction residues</t>
  </si>
  <si>
    <t xml:space="preserve">        070609 Hazardous Waste - Halogenated filter cakes, spent absorbents</t>
  </si>
  <si>
    <t xml:space="preserve">        070610 Hazardous Waste - Other filter cakes, spent absorbents</t>
  </si>
  <si>
    <t xml:space="preserve">        070611 Hazardous Waste - Sludges from on-site effluent treatment containing dangerous substances</t>
  </si>
  <si>
    <t xml:space="preserve">        070701 Hazardous Waste - Aqueous washing liquids and mother liquors</t>
  </si>
  <si>
    <t xml:space="preserve">        070703 Hazardous Waste - Organic halogenated solvents, washing liquids and mother liquors</t>
  </si>
  <si>
    <t xml:space="preserve">        070704 Hazardous Waste - Other organic solvents, washing liquids and mother liquors</t>
  </si>
  <si>
    <t xml:space="preserve">        070707 Hazardous Waste - Halogenated still bottoms and reaction residues</t>
  </si>
  <si>
    <t xml:space="preserve">        070708 Hazardous Waste - Other still bottoms and reaction residues</t>
  </si>
  <si>
    <t xml:space="preserve">        070709 Hazardous Waste - Halogenated filter cakes, spent absorbents</t>
  </si>
  <si>
    <t xml:space="preserve">        070710 Hazardous Waste - Other filter cakes, spent absorbents</t>
  </si>
  <si>
    <t xml:space="preserve">        070711 Hazardous Waste - Sludges from on-site effluent treatment containing dangerous substances</t>
  </si>
  <si>
    <t xml:space="preserve">        080111 Hazardous Waste - Waste paint and varnish containing organic solvents or other dangerous substances</t>
  </si>
  <si>
    <t xml:space="preserve">        080113 Hazardous Waste - Sludges from paint or varnish containing organic solvents or other dangerous substances</t>
  </si>
  <si>
    <t xml:space="preserve">        080115 Hazardous Waste - Aqueous sludges containing paint or varnish containing organic solvents or other dangerous substances</t>
  </si>
  <si>
    <t xml:space="preserve">        080117 Hazardous Waste - Other aqueous sludges containing paint or varnish</t>
  </si>
  <si>
    <t xml:space="preserve">        080119 Hazardous Waste - Aqueous suspensions containing paint or varnish containing organic solvents or other dangerous substances</t>
  </si>
  <si>
    <t xml:space="preserve">        080121 Hazardous Waste - Waste paint or varnish remover</t>
  </si>
  <si>
    <t xml:space="preserve">        080301 Hazardous Waste - Waste ink containing halogenated solvents</t>
  </si>
  <si>
    <t xml:space="preserve">        080302 Hazardous Waste - Waste ink containing non-halogenated solvents</t>
  </si>
  <si>
    <t xml:space="preserve">        080305 Hazardous Waste - Ink sludges containing halogenated solvents</t>
  </si>
  <si>
    <t xml:space="preserve">        080306 Hazardous Waste - Ink sludges containing non-halogenated solvents</t>
  </si>
  <si>
    <t xml:space="preserve">        080310 Hazardous Waste - Waste organic solvents used for cleaning</t>
  </si>
  <si>
    <t xml:space="preserve">        080311 Hazardous Waste - Waste etching solutions</t>
  </si>
  <si>
    <t xml:space="preserve">        080409 Hazardous Waste - Waste adhesives and sealants containing organic solvents or other dangerous substances</t>
  </si>
  <si>
    <t xml:space="preserve">        080411 Hazardous Waste - Adhesive and sealant sludges containing organic solvents or other dangerous substances</t>
  </si>
  <si>
    <t xml:space="preserve">        080413 Hazardous Waste - Aqueous sludges containing adhesives or sealants containing organic solvents or other dangerous substances</t>
  </si>
  <si>
    <t xml:space="preserve">        080415 Hazardous Waste - Aqueous liquid wastes containing adhesives or sealants with organic solvents or other dangerous substances</t>
  </si>
  <si>
    <t xml:space="preserve">        080501 Hazardous Waste - Waste isocyanates</t>
  </si>
  <si>
    <t xml:space="preserve">        090101 Hazardous Waste - Water-based developer and activator solutions</t>
  </si>
  <si>
    <t xml:space="preserve">        090102 Hazardous Waste - Water-based offset plate developer solutions</t>
  </si>
  <si>
    <t xml:space="preserve">        090103 Hazardous Waste - Solvent-based developer solutions</t>
  </si>
  <si>
    <t xml:space="preserve">        090104 Hazardous Waste - Fixer solutions</t>
  </si>
  <si>
    <t xml:space="preserve">        090105 Hazardous Waste - Bleach solutions and bleach fixer solutions</t>
  </si>
  <si>
    <t xml:space="preserve">        090106 Hazardous Waste - Waste containing silver from on-site treatment of photographic waste</t>
  </si>
  <si>
    <t xml:space="preserve">        090111 Hazardous Waste - Single-use cameras containing batteries included in end-of-life tyres, discarded vehicles or end-of-life vehicles, drained of liquids and emptied of other hazardous components</t>
  </si>
  <si>
    <t xml:space="preserve">        100104 Hazardous Waste - Oil fly ash</t>
  </si>
  <si>
    <t xml:space="preserve">        100109 Hazardous Waste - Sulphuric acid</t>
  </si>
  <si>
    <t xml:space="preserve">        100113 Hazardous Waste - Fly ash from emulsified hydrocarbons used as fuel</t>
  </si>
  <si>
    <t xml:space="preserve">        100207 Hazardous Waste - Solid waste from gas treatment of electrical arc furnaces containing dangerous substances</t>
  </si>
  <si>
    <t xml:space="preserve">        100211 Hazardous Waste - Waste from cooling water treatment containing oil</t>
  </si>
  <si>
    <t xml:space="preserve">        100213 Hazardous Waste - Sludges from gas treatment containing dangerous substances</t>
  </si>
  <si>
    <t xml:space="preserve">        100301 Hazardous Waste - Tars and other carbon-containing wastes from anode manufacture</t>
  </si>
  <si>
    <t xml:space="preserve">        100304 Hazardous Waste - Primary smelting slags/white drosses</t>
  </si>
  <si>
    <t xml:space="preserve">        100307 Hazardous Waste - Spent pot linings</t>
  </si>
  <si>
    <t xml:space="preserve">        100308 Hazardous Waste - Salt slags from secondary smelting</t>
  </si>
  <si>
    <t xml:space="preserve">        100309 Hazardous Waste - Black drosses from secondary smelting</t>
  </si>
  <si>
    <t xml:space="preserve">        100310 Hazardous Waste - Waste from treatment of salt slags and black drosses</t>
  </si>
  <si>
    <t xml:space="preserve">        100315 Hazardous Waste - Skimmings that are flammable or emit, upon contact with water, flammable gases in dangerous quantities</t>
  </si>
  <si>
    <t xml:space="preserve">        100401 Hazardous Waste - Slags (first and second smelting)</t>
  </si>
  <si>
    <t xml:space="preserve">        100402 Hazardous Waste - Dross and skimmings (first and second smelting)</t>
  </si>
  <si>
    <t xml:space="preserve">        100403 Hazardous Waste - Calcium arsenate</t>
  </si>
  <si>
    <t xml:space="preserve">        100404 Hazardous Waste - Flue gas dust</t>
  </si>
  <si>
    <t xml:space="preserve">        100405 Hazardous Waste - Other particulates and dust</t>
  </si>
  <si>
    <t xml:space="preserve">        100406 Hazardous Waste - Solid waste from gas treatment</t>
  </si>
  <si>
    <t xml:space="preserve">        100407 Hazardous Waste - Sludges from gas treatment</t>
  </si>
  <si>
    <t xml:space="preserve">        100501 Hazardous Waste - Slags (first and second smelting)</t>
  </si>
  <si>
    <t xml:space="preserve">        100503 Hazardous Waste - Flue gas dust</t>
  </si>
  <si>
    <t xml:space="preserve">        100505 Hazardous Waste - Solid waste from gas treatment</t>
  </si>
  <si>
    <t xml:space="preserve">        100506 Hazardous Waste - Sludges from gas treatment</t>
  </si>
  <si>
    <t xml:space="preserve">        100603 Hazardous Waste - Flue gas dust</t>
  </si>
  <si>
    <t xml:space="preserve">        100605 Hazardous Waste - Waste from electrolytic refining</t>
  </si>
  <si>
    <t xml:space="preserve">        100606 Hazardous Waste - Solid waste from gas treatment</t>
  </si>
  <si>
    <t xml:space="preserve">        100607 Hazardous Waste - Sludges from gas treatment</t>
  </si>
  <si>
    <t xml:space="preserve">        110101 Hazardous Waste - Cyanidic (alkaline) waste containing heavy metals other than chromium</t>
  </si>
  <si>
    <t xml:space="preserve">        110102 Hazardous Waste - Cyanidic (alkaline) waste not containing heavy metals</t>
  </si>
  <si>
    <t xml:space="preserve">        110103 Hazardous Waste - Cyanide-free wastes containing chromium</t>
  </si>
  <si>
    <t xml:space="preserve">        110105 Hazardous Waste - Acidic pickling solutions</t>
  </si>
  <si>
    <t xml:space="preserve">        110106 Hazardous Waste - Acids not otherwise specified</t>
  </si>
  <si>
    <t xml:space="preserve">        110107 Hazardous Waste - Alkalis not otherwise specified</t>
  </si>
  <si>
    <t xml:space="preserve">        110108 Hazardous Waste - Phosphatising sludges</t>
  </si>
  <si>
    <t xml:space="preserve">        110202 Hazardous Waste - Sludges from zinc hydrometallurgy (including jarosite, goethite)</t>
  </si>
  <si>
    <t xml:space="preserve">        110301 Hazardous Waste - Waste containing cyanide</t>
  </si>
  <si>
    <t xml:space="preserve">        110302 Hazardous Waste - Other wastes</t>
  </si>
  <si>
    <t xml:space="preserve">        120106 Hazardous Waste - Waste machining oils containing halogens (except emulsions)</t>
  </si>
  <si>
    <t xml:space="preserve">        120107 Hazardous Waste - Waste machining oils free of halogens (except emulsions)</t>
  </si>
  <si>
    <t xml:space="preserve">        120108 Hazardous Waste - Waste machining emulsions containing halogens</t>
  </si>
  <si>
    <t xml:space="preserve">        120109 Hazardous Waste - Waste machining emulsions free of halogens</t>
  </si>
  <si>
    <t xml:space="preserve">        120110 Hazardous Waste - Synthetic machining oils</t>
  </si>
  <si>
    <t xml:space="preserve">        120111 Hazardous Waste - Machining sludges</t>
  </si>
  <si>
    <t xml:space="preserve">        120112 Hazardous Waste - Spent waxes and fats</t>
  </si>
  <si>
    <t xml:space="preserve">        120301 Hazardous Waste - Aqueous washing liquids</t>
  </si>
  <si>
    <t xml:space="preserve">        120302 Hazardous Waste - Steam degreasing waste</t>
  </si>
  <si>
    <t xml:space="preserve">        130101 Hazardous Waste - Hydraulic oils, containing PCBs or PCTs</t>
  </si>
  <si>
    <t xml:space="preserve">        130102 Hazardous Waste - Other chlorinated hydraulic oils (except emulsions)</t>
  </si>
  <si>
    <t xml:space="preserve">        130103 Hazardous Waste - Non-chlorinated hydraulic oils (except emulsions)</t>
  </si>
  <si>
    <t xml:space="preserve">        130104 Hazardous Waste - Chlorinated emulsions</t>
  </si>
  <si>
    <t xml:space="preserve">        130105 Hazardous Waste - Non-chlorinated emulsions</t>
  </si>
  <si>
    <t xml:space="preserve">        130106 Hazardous Waste - Hydraulic oils containing only mineral oil</t>
  </si>
  <si>
    <t xml:space="preserve">        130107 Hazardous Waste - Other hydraulic oils</t>
  </si>
  <si>
    <t xml:space="preserve">        130108 Hazardous Waste - Brake fluids</t>
  </si>
  <si>
    <t xml:space="preserve">        130201 Hazardous Waste - Chlorinated engine, gear and lubricating oils</t>
  </si>
  <si>
    <t xml:space="preserve">        130202 Hazardous Waste - Non-chlorinated engine, gear and lubricating oils</t>
  </si>
  <si>
    <t xml:space="preserve">        130203 Hazardous Waste - Other engine, gear and lubricating oils</t>
  </si>
  <si>
    <t xml:space="preserve">        130301 Hazardous Waste - Insulating or heat transmission oils and other liquids containing PCBs or PCTs</t>
  </si>
  <si>
    <t xml:space="preserve">        130302 Hazardous Waste - Other chlorinated insulating and heat transmission oils and other liquids</t>
  </si>
  <si>
    <t xml:space="preserve">        130303 Hazardous Waste - Non-chlorinated insulating and heat transmission oils and other liquids</t>
  </si>
  <si>
    <t xml:space="preserve">        130304 Hazardous Waste - Synthetic insulating and heat transmission oils and other liquids</t>
  </si>
  <si>
    <t xml:space="preserve">        130305 Hazardous Waste - Mineral insulating and heat transmission oils</t>
  </si>
  <si>
    <t xml:space="preserve">        130401 Hazardous Waste - Bilge oils from inland navigation</t>
  </si>
  <si>
    <t xml:space="preserve">        130402 Hazardous Waste - Bilge oils from jetty sewers</t>
  </si>
  <si>
    <t xml:space="preserve">        130403 Hazardous Waste - Bilge oils from other navigation</t>
  </si>
  <si>
    <t xml:space="preserve">        130501 Hazardous Waste - Oil/water separator solids</t>
  </si>
  <si>
    <t xml:space="preserve">        130502 Hazardous Waste - Oil/water separator sludges</t>
  </si>
  <si>
    <t xml:space="preserve">        130503 Hazardous Waste - Interceptor sludges</t>
  </si>
  <si>
    <t xml:space="preserve">        130504 Hazardous Waste - Desalter sludges or emulsions</t>
  </si>
  <si>
    <t xml:space="preserve">        130505 Hazardous Waste - Other emulsions</t>
  </si>
  <si>
    <t xml:space="preserve">        130601 Hazardous Waste - Oil waste not otherwise specified</t>
  </si>
  <si>
    <t>14 WASTES FROM ORGANIC SUBSTANCES USED AS SOLVENTS (except WASTES FROM ORGANIC CHEMICAL PROCESSES and WASTES FROM THE MANUFACTURE, FORMULATION, SUPPLY AND USE (MFSU) OF COATINGS (PAINTS, VARNISHES AND VITREOUS ENAMELS), ADHESIVES, SEALANTS AND PRINTING INKS)</t>
  </si>
  <si>
    <t xml:space="preserve">        140101 Hazardous Waste - chlorofluorocarbons</t>
  </si>
  <si>
    <t xml:space="preserve">        140102 Hazardous Waste - other halogenated solvents and solvent mixes</t>
  </si>
  <si>
    <t xml:space="preserve">        140103 Hazardous Waste - Other solvents and solvent mixes</t>
  </si>
  <si>
    <t xml:space="preserve">        140104 Hazardous Waste - Aqueous solvent mixes containing halogens</t>
  </si>
  <si>
    <t xml:space="preserve">        140105 Hazardous Waste - Aqueous solvent mixes free of halogens</t>
  </si>
  <si>
    <t xml:space="preserve">        140106 Hazardous Waste - Sludges or solid wastes containing halogenated solvents</t>
  </si>
  <si>
    <t xml:space="preserve">        140107 Hazardous Waste - Sludges or solid wastes free of halogenated solvents</t>
  </si>
  <si>
    <t xml:space="preserve">        140201 Hazardous Waste - Halogenated solvents and solvent mixes</t>
  </si>
  <si>
    <t xml:space="preserve">        140202 Hazardous Waste - Solvent mixes or organic liquids free of halogenated solvents</t>
  </si>
  <si>
    <t xml:space="preserve">        140203 Hazardous Waste - Sludges or solid waste containing halogenated solvents</t>
  </si>
  <si>
    <t xml:space="preserve">        140204 Hazardous Waste - Sludges or solid waste containing other solvents</t>
  </si>
  <si>
    <t xml:space="preserve">        140301 Hazardous Waste - Chlorofluorocarbons</t>
  </si>
  <si>
    <t xml:space="preserve">        140302 Hazardous Waste - Other halogenated solvents</t>
  </si>
  <si>
    <t xml:space="preserve">        140303 Hazardous Waste - Solvents and solvent mixes free of halogenated solvents</t>
  </si>
  <si>
    <t xml:space="preserve">        140304 Hazardous Waste - Sludges or solid wastes containing halogenated solvents</t>
  </si>
  <si>
    <t xml:space="preserve">        140305 Hazardous Waste - Sludges or solid wastes containing other solvents</t>
  </si>
  <si>
    <t xml:space="preserve">        140401 Hazardous Waste - Chlorofluorocarbons</t>
  </si>
  <si>
    <t xml:space="preserve">        140402 Hazardous Waste - Other halogenated solvents and solvent mixes</t>
  </si>
  <si>
    <t xml:space="preserve">        140403 Hazardous Waste - Other solvents and solvent mixes</t>
  </si>
  <si>
    <t xml:space="preserve">        140404 Hazardous Waste - Sludges or solid waste containing halogenated solvents</t>
  </si>
  <si>
    <t xml:space="preserve">        140405 Hazardous Waste - Sludges or solid waste containing other solvents</t>
  </si>
  <si>
    <t xml:space="preserve">        150108 Hazardous Waste - Packaging containing residues of or contaminated by dangerous substances</t>
  </si>
  <si>
    <t xml:space="preserve">        150202 Hazardous Waste - Absorbents, filter materials, wiping cloths, protective clothing contaminated by dangerous substances</t>
  </si>
  <si>
    <t xml:space="preserve">        160209 Hazardous Waste - Transformers and capacitors containing PCBs or PCTs</t>
  </si>
  <si>
    <t xml:space="preserve">        160210 Hazardous Waste - Discarded equipment containing or contaminated by PCBs or PCTs other than transformers and capacitors containing PCBs or PCTs</t>
  </si>
  <si>
    <t xml:space="preserve">        160211 Hazardous Waste - Discarded equipment containing chlorofluorocarbons</t>
  </si>
  <si>
    <t xml:space="preserve">        160212 Hazardous Waste - Discarded equipment containing free asbestos</t>
  </si>
  <si>
    <t xml:space="preserve">        160213 Hazardous Waste - Other discarded equipments containing hazardous components</t>
  </si>
  <si>
    <t xml:space="preserve">        160215 Hazardous Waste - Hazardous components removed from discarded equipment</t>
  </si>
  <si>
    <t xml:space="preserve">        160401 Hazardous Waste - Waste ammunition</t>
  </si>
  <si>
    <t xml:space="preserve">        160402 Hazardous Waste - Fireworks waste</t>
  </si>
  <si>
    <t xml:space="preserve">        160403 Hazardous Waste - Other waste explosives</t>
  </si>
  <si>
    <t xml:space="preserve">        160601 Hazardous Waste - Lead batteries</t>
  </si>
  <si>
    <t xml:space="preserve">        160602 Hazardous Waste - Ni-Cd batteries</t>
  </si>
  <si>
    <t xml:space="preserve">        160603 Hazardous Waste - Mercury-containing batteries</t>
  </si>
  <si>
    <t xml:space="preserve">        160606 Hazardous Waste - Electrolyte from batteries and accumulators</t>
  </si>
  <si>
    <t xml:space="preserve">        160701 Hazardous Waste - Waste from marine transport tank cleaning, containing chemicals</t>
  </si>
  <si>
    <t xml:space="preserve">        160702 Hazardous Waste - Waste from marine transport tank cleaning, containing oil</t>
  </si>
  <si>
    <t xml:space="preserve">        160703 Hazardous Waste - Waste from railway and road transport tank cleaning, containing oil</t>
  </si>
  <si>
    <t xml:space="preserve">        160704 Hazardous Waste - Waste from railway and road transport tank cleaning, containing chemicals</t>
  </si>
  <si>
    <t xml:space="preserve">        160705 Hazardous Waste - Waste from storage tank cleaning, containing chemicals</t>
  </si>
  <si>
    <t xml:space="preserve">        160706 Hazardous Waste - Waste from storage tank cleaning, containing oil</t>
  </si>
  <si>
    <t xml:space="preserve">        160802 Hazardous Waste - Spent catalysts containing dangerous transition metals or transition metal compounds</t>
  </si>
  <si>
    <t xml:space="preserve">        160805 Hazardous Waste - Spent catalysts containing phosphoric acid</t>
  </si>
  <si>
    <t xml:space="preserve">        160806 Hazardous Waste - Spent liquids used as catalysts</t>
  </si>
  <si>
    <t xml:space="preserve">        160807 Hazardous Waste - Spent catalysts contaminated with dangerous substances</t>
  </si>
  <si>
    <t xml:space="preserve">        170503 Hazardous Waste - Soil and stones containing dangerous substances</t>
  </si>
  <si>
    <t xml:space="preserve">        170505 Hazardous Waste - Dredging spoil containing dangerous substances</t>
  </si>
  <si>
    <t xml:space="preserve">        170601 Hazardous Waste - Insulation materials containing asbestos</t>
  </si>
  <si>
    <t xml:space="preserve">        170702 Hazardous Waste - Mixed construction and demolition waste or separated fractions containing dangerous substances</t>
  </si>
  <si>
    <t xml:space="preserve">        180103 Hazardous Waste - Waste whose collection and disposal is subject to special requirements in view of the prevention of infection</t>
  </si>
  <si>
    <t xml:space="preserve">        180106 Hazardous Waste - Chemicals consisting of or containing dangerous substances</t>
  </si>
  <si>
    <t xml:space="preserve">        180108 Hazardous Waste - Cytotoxic and cytostatic medicines</t>
  </si>
  <si>
    <t xml:space="preserve">        180110 Hazardous Waste - Amalgam waste from dental care</t>
  </si>
  <si>
    <t xml:space="preserve">        180202 Hazardous Waste - Waste whose collection and disposal is subject to special requirements in view of the prevention of infection</t>
  </si>
  <si>
    <t xml:space="preserve">        180205 Hazardous Waste - Chemicals consisting of or containing dangerous substances</t>
  </si>
  <si>
    <t xml:space="preserve">        180207 Hazardous Waste - Cytotoxic and cytostatic medicines</t>
  </si>
  <si>
    <t xml:space="preserve">        190105 Hazardous Waste - Filter cake from gas treatment</t>
  </si>
  <si>
    <t xml:space="preserve">        190106 Hazardous Waste - Aqueous liquid waste from gas treatment and other aqueous liquid waste</t>
  </si>
  <si>
    <t xml:space="preserve">        190107 Hazardous Waste - Solid waste from gas treatment</t>
  </si>
  <si>
    <t xml:space="preserve">        190110 Hazardous Waste - Spent activated carbon from flue gas treatment</t>
  </si>
  <si>
    <t xml:space="preserve">        190111 Hazardous Waste - Bottom ash and slag containing dangerous substances</t>
  </si>
  <si>
    <t xml:space="preserve">        190113 Hazardous Waste - Fly ash containing dangerous substances</t>
  </si>
  <si>
    <t xml:space="preserve">        190115 Hazardous Waste - Boiler dust containing dangerous substances</t>
  </si>
  <si>
    <t xml:space="preserve">        190117 Hazardous Waste - Pyrolysis waste containing dangerous substances</t>
  </si>
  <si>
    <t xml:space="preserve">        190201 Hazardous Waste - Metal hydroxide sludges and other sludges from metal insolubilisation treatment</t>
  </si>
  <si>
    <t xml:space="preserve">        190204 Hazardous Waste - Premixed waste composed of at least one waste marked as hazardous</t>
  </si>
  <si>
    <t xml:space="preserve">        190304 Hazardous Waste - Waste marked as hazardous, partly stabilised</t>
  </si>
  <si>
    <t xml:space="preserve">        190306 Hazardous Waste - Waste marked as hazardous, solidified</t>
  </si>
  <si>
    <t xml:space="preserve">        190402 Hazardous Waste - Fly ash and other flue gas treatment waste</t>
  </si>
  <si>
    <t xml:space="preserve">        190403 Hazardous Waste - Non-vitrified solid phase</t>
  </si>
  <si>
    <t xml:space="preserve">        190803 Hazardous Waste - Grease and oil mixture from oil/waste water separation</t>
  </si>
  <si>
    <t xml:space="preserve">        190806 Hazardous Waste - Saturated or spent ion exchange resins</t>
  </si>
  <si>
    <t xml:space="preserve">        190807 Hazardous Waste - Solutions and sludges from regeneration of ion exchangers</t>
  </si>
  <si>
    <t xml:space="preserve">        191003 Hazardous Waste - Fluff — light fraction containing dangerous substances</t>
  </si>
  <si>
    <t xml:space="preserve">        191005 Hazardous Waste - Dust and other fractions containing dangerous substances</t>
  </si>
  <si>
    <t xml:space="preserve">        200113 Hazardous Waste - Solvents</t>
  </si>
  <si>
    <t xml:space="preserve">        200114 Hazardous Waste - Acids</t>
  </si>
  <si>
    <t xml:space="preserve">        200115 Hazardous Waste - Alkalines</t>
  </si>
  <si>
    <t xml:space="preserve">        200117 Hazardous Waste - Photochemicals</t>
  </si>
  <si>
    <t xml:space="preserve">        200119 Hazardous Waste - Pesticides</t>
  </si>
  <si>
    <t xml:space="preserve">        200121 Hazardous Waste - Fluorescent tubes and other mercury-containing waste</t>
  </si>
  <si>
    <t xml:space="preserve">        200123 Hazardous Waste - Discarded equipment containing chlorofluorocarbons</t>
  </si>
  <si>
    <t xml:space="preserve">        200126 Hazardous Waste - Other oils and fats</t>
  </si>
  <si>
    <t xml:space="preserve">        200127 Hazardous Waste - Paint, inks, adhesives and resins containing dangerous substances</t>
  </si>
  <si>
    <t xml:space="preserve">        200129 Hazardous Waste - Detergents containing dangerous substances</t>
  </si>
  <si>
    <t xml:space="preserve">        200131 Hazardous Waste - Cytotoxic and cytostatic medicines</t>
  </si>
  <si>
    <t xml:space="preserve">        200133 Hazardous Waste - Mixed batteries and accumulators containing batteries or accumulators included in lead batteries, Ni-Cd batteries or mercury-containing batteries</t>
  </si>
  <si>
    <t xml:space="preserve">        200135 Hazardous Waste - Discarded equipment other than fluorescent tubes and other mercury-containing waste and discarded equipment containing chlorofluorocarbons containing hazardous components</t>
  </si>
  <si>
    <t xml:space="preserve">        010101 Non-Hazardous Waste - Waste from mineral metalliferous excavation</t>
  </si>
  <si>
    <t xml:space="preserve">What is your fuel? </t>
  </si>
  <si>
    <t>Energy [MWh]</t>
  </si>
  <si>
    <t>Volume</t>
  </si>
  <si>
    <t>g/m³</t>
  </si>
  <si>
    <t>t/m³</t>
  </si>
  <si>
    <t>Gg/m³</t>
  </si>
  <si>
    <t>J/g</t>
  </si>
  <si>
    <t>J/t</t>
  </si>
  <si>
    <t>J/Gg</t>
  </si>
  <si>
    <t>TJ/g</t>
  </si>
  <si>
    <t>TJ/t</t>
  </si>
  <si>
    <t>TJ/Gg</t>
  </si>
  <si>
    <t>MWh/g</t>
  </si>
  <si>
    <t>MWh/t</t>
  </si>
  <si>
    <t>MWh/Gg</t>
  </si>
  <si>
    <t>Anthracite</t>
  </si>
  <si>
    <t>t - tonne</t>
  </si>
  <si>
    <t>Biodiesel</t>
  </si>
  <si>
    <t>Lignite</t>
  </si>
  <si>
    <t>Orimulsion</t>
  </si>
  <si>
    <t>Propane</t>
  </si>
  <si>
    <t>State of matter</t>
  </si>
  <si>
    <t>KJ/g</t>
  </si>
  <si>
    <t>KJ/t</t>
  </si>
  <si>
    <t>KJ/Gg</t>
  </si>
  <si>
    <t>Amount</t>
  </si>
  <si>
    <t xml:space="preserve">AED  </t>
  </si>
  <si>
    <t xml:space="preserve">AFN  </t>
  </si>
  <si>
    <t xml:space="preserve">ALL  </t>
  </si>
  <si>
    <t xml:space="preserve">AMD  </t>
  </si>
  <si>
    <t xml:space="preserve">ANG  </t>
  </si>
  <si>
    <t xml:space="preserve">AOA  </t>
  </si>
  <si>
    <t xml:space="preserve">ARS  </t>
  </si>
  <si>
    <t xml:space="preserve">AUD  </t>
  </si>
  <si>
    <t xml:space="preserve">AWG  </t>
  </si>
  <si>
    <t xml:space="preserve">AZN  </t>
  </si>
  <si>
    <t xml:space="preserve">BAM  </t>
  </si>
  <si>
    <t xml:space="preserve">BBD  </t>
  </si>
  <si>
    <t xml:space="preserve">BDT  </t>
  </si>
  <si>
    <t xml:space="preserve">BGN  </t>
  </si>
  <si>
    <t xml:space="preserve">BHD  </t>
  </si>
  <si>
    <t xml:space="preserve">BIF  </t>
  </si>
  <si>
    <t xml:space="preserve">BMD  </t>
  </si>
  <si>
    <t xml:space="preserve">BND  </t>
  </si>
  <si>
    <t xml:space="preserve">BOB  </t>
  </si>
  <si>
    <t xml:space="preserve">BOV  </t>
  </si>
  <si>
    <t xml:space="preserve">BRL  </t>
  </si>
  <si>
    <t xml:space="preserve">BSD  </t>
  </si>
  <si>
    <t xml:space="preserve">BTN  </t>
  </si>
  <si>
    <t xml:space="preserve">BWP  </t>
  </si>
  <si>
    <t xml:space="preserve">BZD  </t>
  </si>
  <si>
    <t xml:space="preserve">CAD  </t>
  </si>
  <si>
    <t xml:space="preserve">CDF  </t>
  </si>
  <si>
    <t xml:space="preserve">CHE  </t>
  </si>
  <si>
    <t xml:space="preserve">CHF  </t>
  </si>
  <si>
    <t xml:space="preserve">CHW  </t>
  </si>
  <si>
    <t xml:space="preserve">CLF  </t>
  </si>
  <si>
    <t xml:space="preserve">CLP  </t>
  </si>
  <si>
    <t xml:space="preserve">CNY  </t>
  </si>
  <si>
    <t xml:space="preserve">COP  </t>
  </si>
  <si>
    <t xml:space="preserve">COU  </t>
  </si>
  <si>
    <t xml:space="preserve">CRC  </t>
  </si>
  <si>
    <t xml:space="preserve">CUC  </t>
  </si>
  <si>
    <t xml:space="preserve">CUP  </t>
  </si>
  <si>
    <t xml:space="preserve">CVE  </t>
  </si>
  <si>
    <t xml:space="preserve">CZK  </t>
  </si>
  <si>
    <t xml:space="preserve">DJF  </t>
  </si>
  <si>
    <t xml:space="preserve">DKK  </t>
  </si>
  <si>
    <t xml:space="preserve">DOP  </t>
  </si>
  <si>
    <t xml:space="preserve">DZD  </t>
  </si>
  <si>
    <t xml:space="preserve">EGP  </t>
  </si>
  <si>
    <t xml:space="preserve">ERN  </t>
  </si>
  <si>
    <t xml:space="preserve">ETB  </t>
  </si>
  <si>
    <t xml:space="preserve">EUR  </t>
  </si>
  <si>
    <t xml:space="preserve">FJD  </t>
  </si>
  <si>
    <t xml:space="preserve">FKP  </t>
  </si>
  <si>
    <t xml:space="preserve">GBP  </t>
  </si>
  <si>
    <t xml:space="preserve">GEL  </t>
  </si>
  <si>
    <t xml:space="preserve">GHS  </t>
  </si>
  <si>
    <t xml:space="preserve">GIP  </t>
  </si>
  <si>
    <t xml:space="preserve">GMD  </t>
  </si>
  <si>
    <t xml:space="preserve">GNF  </t>
  </si>
  <si>
    <t xml:space="preserve">GTQ  </t>
  </si>
  <si>
    <t xml:space="preserve">GYD  </t>
  </si>
  <si>
    <t xml:space="preserve">HKD  </t>
  </si>
  <si>
    <t xml:space="preserve">HNL  </t>
  </si>
  <si>
    <t xml:space="preserve">HRK  </t>
  </si>
  <si>
    <t xml:space="preserve">HTG  </t>
  </si>
  <si>
    <t xml:space="preserve">HUF  </t>
  </si>
  <si>
    <t xml:space="preserve">IDR  </t>
  </si>
  <si>
    <t xml:space="preserve">ILS  </t>
  </si>
  <si>
    <t xml:space="preserve">INR  </t>
  </si>
  <si>
    <t xml:space="preserve">IQD  </t>
  </si>
  <si>
    <t xml:space="preserve">IRR  </t>
  </si>
  <si>
    <t xml:space="preserve">ISK  </t>
  </si>
  <si>
    <t xml:space="preserve">JMD  </t>
  </si>
  <si>
    <t xml:space="preserve">JOD  </t>
  </si>
  <si>
    <t xml:space="preserve">JPY  </t>
  </si>
  <si>
    <t xml:space="preserve">KES  </t>
  </si>
  <si>
    <t xml:space="preserve">KGS  </t>
  </si>
  <si>
    <t xml:space="preserve">KHR  </t>
  </si>
  <si>
    <t xml:space="preserve">KMF  </t>
  </si>
  <si>
    <t xml:space="preserve">KPW  </t>
  </si>
  <si>
    <t xml:space="preserve">KRW  </t>
  </si>
  <si>
    <t xml:space="preserve">KWD  </t>
  </si>
  <si>
    <t xml:space="preserve">KYD  </t>
  </si>
  <si>
    <t xml:space="preserve">KZT  </t>
  </si>
  <si>
    <t xml:space="preserve">LAK  </t>
  </si>
  <si>
    <t xml:space="preserve">LBP  </t>
  </si>
  <si>
    <t xml:space="preserve">LKR  </t>
  </si>
  <si>
    <t xml:space="preserve">LRD  </t>
  </si>
  <si>
    <t xml:space="preserve">LSL  </t>
  </si>
  <si>
    <t xml:space="preserve">LYD  </t>
  </si>
  <si>
    <t xml:space="preserve">MAD  </t>
  </si>
  <si>
    <t xml:space="preserve">MDL  </t>
  </si>
  <si>
    <t xml:space="preserve">MGA  </t>
  </si>
  <si>
    <t xml:space="preserve">MKD  </t>
  </si>
  <si>
    <t xml:space="preserve">MMK  </t>
  </si>
  <si>
    <t xml:space="preserve">MNT  </t>
  </si>
  <si>
    <t xml:space="preserve">MOP  </t>
  </si>
  <si>
    <t xml:space="preserve">MRU  </t>
  </si>
  <si>
    <t xml:space="preserve">MUR  </t>
  </si>
  <si>
    <t xml:space="preserve">MVR  </t>
  </si>
  <si>
    <t xml:space="preserve">MWK  </t>
  </si>
  <si>
    <t xml:space="preserve">MXN  </t>
  </si>
  <si>
    <t xml:space="preserve">MXV  </t>
  </si>
  <si>
    <t xml:space="preserve">MYR  </t>
  </si>
  <si>
    <t xml:space="preserve">MZN  </t>
  </si>
  <si>
    <t xml:space="preserve">NAD  </t>
  </si>
  <si>
    <t xml:space="preserve">NGN  </t>
  </si>
  <si>
    <t xml:space="preserve">NIO  </t>
  </si>
  <si>
    <t xml:space="preserve">NOK  </t>
  </si>
  <si>
    <t xml:space="preserve">NPR  </t>
  </si>
  <si>
    <t xml:space="preserve">NZD  </t>
  </si>
  <si>
    <t xml:space="preserve">OMR  </t>
  </si>
  <si>
    <t xml:space="preserve">PAB  </t>
  </si>
  <si>
    <t xml:space="preserve">PEN  </t>
  </si>
  <si>
    <t xml:space="preserve">PGK  </t>
  </si>
  <si>
    <t xml:space="preserve">PHP  </t>
  </si>
  <si>
    <t xml:space="preserve">PKR  </t>
  </si>
  <si>
    <t xml:space="preserve">PLN  </t>
  </si>
  <si>
    <t xml:space="preserve">PYG  </t>
  </si>
  <si>
    <t xml:space="preserve">QAR  </t>
  </si>
  <si>
    <t xml:space="preserve">RON  </t>
  </si>
  <si>
    <t xml:space="preserve">RSD  </t>
  </si>
  <si>
    <t xml:space="preserve">RUB  </t>
  </si>
  <si>
    <t xml:space="preserve">RWF  </t>
  </si>
  <si>
    <t xml:space="preserve">SAR  </t>
  </si>
  <si>
    <t xml:space="preserve">SBD  </t>
  </si>
  <si>
    <t xml:space="preserve">SCR  </t>
  </si>
  <si>
    <t xml:space="preserve">SDG  </t>
  </si>
  <si>
    <t xml:space="preserve">SEK  </t>
  </si>
  <si>
    <t xml:space="preserve">SGD  </t>
  </si>
  <si>
    <t xml:space="preserve">SHP  </t>
  </si>
  <si>
    <t xml:space="preserve">SLL  </t>
  </si>
  <si>
    <t xml:space="preserve">SOS  </t>
  </si>
  <si>
    <t xml:space="preserve">SRD  </t>
  </si>
  <si>
    <t xml:space="preserve">SSP  </t>
  </si>
  <si>
    <t xml:space="preserve">STD  </t>
  </si>
  <si>
    <t xml:space="preserve">SVC  </t>
  </si>
  <si>
    <t xml:space="preserve">SYP  </t>
  </si>
  <si>
    <t xml:space="preserve">SZL  </t>
  </si>
  <si>
    <t xml:space="preserve">THB  </t>
  </si>
  <si>
    <t xml:space="preserve">TJS  </t>
  </si>
  <si>
    <t xml:space="preserve">TMT  </t>
  </si>
  <si>
    <t xml:space="preserve">TND  </t>
  </si>
  <si>
    <t xml:space="preserve">TOP  </t>
  </si>
  <si>
    <t xml:space="preserve">TRY  </t>
  </si>
  <si>
    <t xml:space="preserve">TTD  </t>
  </si>
  <si>
    <t xml:space="preserve">TWD  </t>
  </si>
  <si>
    <t xml:space="preserve">TZS  </t>
  </si>
  <si>
    <t xml:space="preserve">UAH  </t>
  </si>
  <si>
    <t xml:space="preserve">UGX  </t>
  </si>
  <si>
    <t xml:space="preserve">USD  </t>
  </si>
  <si>
    <t xml:space="preserve">UYI  </t>
  </si>
  <si>
    <t xml:space="preserve">UYU  </t>
  </si>
  <si>
    <t xml:space="preserve">UZS  </t>
  </si>
  <si>
    <t xml:space="preserve">VES  </t>
  </si>
  <si>
    <t xml:space="preserve">VND  </t>
  </si>
  <si>
    <t xml:space="preserve">VUV  </t>
  </si>
  <si>
    <t xml:space="preserve">WST  </t>
  </si>
  <si>
    <t xml:space="preserve">XAF  </t>
  </si>
  <si>
    <t xml:space="preserve">XAG  </t>
  </si>
  <si>
    <t xml:space="preserve">XAU  </t>
  </si>
  <si>
    <t xml:space="preserve">XCD  </t>
  </si>
  <si>
    <t xml:space="preserve">XDR  </t>
  </si>
  <si>
    <t xml:space="preserve">XOF  </t>
  </si>
  <si>
    <t xml:space="preserve">XPD  </t>
  </si>
  <si>
    <t xml:space="preserve">XPF  </t>
  </si>
  <si>
    <t xml:space="preserve">XPT  </t>
  </si>
  <si>
    <t xml:space="preserve">XSU  </t>
  </si>
  <si>
    <t xml:space="preserve">XUA  </t>
  </si>
  <si>
    <t xml:space="preserve">YER  </t>
  </si>
  <si>
    <t xml:space="preserve">ZAR  </t>
  </si>
  <si>
    <t xml:space="preserve">ZMW  </t>
  </si>
  <si>
    <t>NACE A - AGRICULTURE, FORESTRY AND FISHING</t>
  </si>
  <si>
    <t>NACE A - 01 Crop and animal production, hunting and related service activities</t>
  </si>
  <si>
    <t>NACE A - 01.1 Growing of non-perennial crops</t>
  </si>
  <si>
    <t>NACE A - 01.2 Growing of perennial crops</t>
  </si>
  <si>
    <t>NACE A - 01.3 Plant propagation</t>
  </si>
  <si>
    <t>NACE A - 01.4 Animal production</t>
  </si>
  <si>
    <t>NACE A - 01.5 Mixed farming</t>
  </si>
  <si>
    <t>NACE A - 01.6 Support activities to agriculture and post-harvest crop activities</t>
  </si>
  <si>
    <t>NACE A - 01.7 Hunting, trapping and related service activities</t>
  </si>
  <si>
    <t>NACE A - 02 Forestry and logging</t>
  </si>
  <si>
    <t>NACE A - 02.1 Silviculture and other forestry activities</t>
  </si>
  <si>
    <t>NACE A - 02.2 Logging</t>
  </si>
  <si>
    <t>NACE A - 02.3 Gathering of wild growing non-wood products</t>
  </si>
  <si>
    <t>NACE A - 02.4 Support services to forestry</t>
  </si>
  <si>
    <t>NACE A - 03 Fishing and aquaculture</t>
  </si>
  <si>
    <t>NACE A - 03.1 Fishing</t>
  </si>
  <si>
    <t>NACE A - 03.2 Aquaculture</t>
  </si>
  <si>
    <t>NACE A - 03.3 Support activities for fishing and aquaculture</t>
  </si>
  <si>
    <t>NACE B - MINING AND QUARRYING</t>
  </si>
  <si>
    <t>NACE B - 04 Mining of coal and lignite</t>
  </si>
  <si>
    <t>NACE B - 05.1 Mining of hard coal</t>
  </si>
  <si>
    <t>NACE B - 05.2 Mining of lignite</t>
  </si>
  <si>
    <t>NACE B - 05 Extraction of crude petroleum and natural gas</t>
  </si>
  <si>
    <t>NACE B - 06.1 Extraction of crude petroleum</t>
  </si>
  <si>
    <t>NACE B - 06.2 Extraction of natural gas</t>
  </si>
  <si>
    <t>NACE B - 06 Mining of metal ores</t>
  </si>
  <si>
    <t>NACE B - 07.1 Mining of iron ores</t>
  </si>
  <si>
    <t>NACE B - 07.2 Mining of non-ferrous metal ores</t>
  </si>
  <si>
    <t>NACE B - 07 Other mining and quarrying</t>
  </si>
  <si>
    <t>NACE B - 08.1 Quarrying of stone, sand and clay</t>
  </si>
  <si>
    <t>NACE B - 08.9 Mining and quarrying n.e.c.</t>
  </si>
  <si>
    <t>NACE B - 08 Mining support service activities</t>
  </si>
  <si>
    <t>NACE B - 09.1 Support activities for petroleum and natural gas extraction</t>
  </si>
  <si>
    <t>NACE B - 09.9 Support activities for other mining and quarrying</t>
  </si>
  <si>
    <t>NACE C - MANUFACTURING</t>
  </si>
  <si>
    <t>NACE C - 10 Manufacture of food products</t>
  </si>
  <si>
    <t>NACE C - 10.1 Processing and preserving of meat and production of meat products</t>
  </si>
  <si>
    <t>NACE C - 10.2 Processing and preserving of fish, crustaceans and molluscs</t>
  </si>
  <si>
    <t>NACE C - 10.3 Processing and preserving of fruit and vegetables</t>
  </si>
  <si>
    <t>NACE C - 10.4 Manufacture of vegetable and animal oils and fats</t>
  </si>
  <si>
    <t>NACE C - 10.5 Manufacture of dairy products and edible ice</t>
  </si>
  <si>
    <t>NACE C - 10.6 Manufacture of grain mill products, starches and starch products</t>
  </si>
  <si>
    <t>NACE C - 10.7 Manufacture of bakery and farinaceous products</t>
  </si>
  <si>
    <t>NACE C - 10.8 Manufacture of other food products</t>
  </si>
  <si>
    <t>NACE C - 10.9 Manufacture of prepared animal feeds</t>
  </si>
  <si>
    <t>NACE C - 11 Manufacture of beverages</t>
  </si>
  <si>
    <t>NACE C - 11.0 Manufacture of beverages</t>
  </si>
  <si>
    <t>NACE C - 12 Manufacture of tobacco products</t>
  </si>
  <si>
    <t>NACE C - 12.0 Manufacture of tobacco products</t>
  </si>
  <si>
    <t>NACE C - 13 Manufacture of textiles</t>
  </si>
  <si>
    <t>NACE C - 13.1 Preparation and spinning of textile fibres</t>
  </si>
  <si>
    <t>NACE C - 13.2 Weaving of textiles</t>
  </si>
  <si>
    <t>NACE C - 13.3 Finishing of textiles</t>
  </si>
  <si>
    <t>NACE C - 13.9 Manufacture of other textiles</t>
  </si>
  <si>
    <t>NACE C - 14 Manufacture of wearing apparel</t>
  </si>
  <si>
    <t>NACE C - 14.1 Manufacture of knitted and crocheted apparel</t>
  </si>
  <si>
    <t>NACE C - 14.2 Manufacture of other wearing apparel and accessories</t>
  </si>
  <si>
    <t>NACE C - 15 Manufacture of leather and related products of other materials</t>
  </si>
  <si>
    <t>NACE C - 15.1 Tanning, dyeing, dressing of leather and fur; manufacture of luggage, handbags, saddlery and harness</t>
  </si>
  <si>
    <t>NACE C - 15.2 Manufacture of footwear</t>
  </si>
  <si>
    <t>NACE C - 15.20 Manufacture of footwear</t>
  </si>
  <si>
    <t>NACE C - 16 Manufacture of wood and of products of wood and cork, except furniture; manufacture of articles of straw and plaiting materials</t>
  </si>
  <si>
    <t>NACE C - 16.1 Sawmilling and planing of wood; processing and finishing of wood</t>
  </si>
  <si>
    <t>NACE C - 16.2 Manufacture of products of wood, cork, straw and plaiting materials</t>
  </si>
  <si>
    <t>NACE C - 17 Manufacture of paper and paper products</t>
  </si>
  <si>
    <t>NACE C - 17.1 Manufacture of pulp, paper and paperboard</t>
  </si>
  <si>
    <t>NACE C - 17.2 Manufacture of articles of paper and paperboard</t>
  </si>
  <si>
    <t>NACE C - 18 Printing and reproduction of recorded media</t>
  </si>
  <si>
    <t>NACE C - 18.1 Printing and service activities related to printing</t>
  </si>
  <si>
    <t>NACE C - 18.2 Reproduction of recorded media</t>
  </si>
  <si>
    <t>NACE C - 19 Manufacture of coke and refined petroleum products</t>
  </si>
  <si>
    <t>NACE C - 19.1 Manufacture of coke oven products</t>
  </si>
  <si>
    <t>NACE C - 19.2 Manufacture of refined petroleum products and fossil fuel products</t>
  </si>
  <si>
    <t>NACE C - 20 Manufacture of chemicals and chemical products</t>
  </si>
  <si>
    <t>NACE C - 20.1 Manufacture of basic chemicals, fertilisers and nitrogen compounds, plastics and synthetic rubber in primary forms</t>
  </si>
  <si>
    <t>NACE C - 20.2 Manufacture of pesticides, disinfectants and other agrochemical products</t>
  </si>
  <si>
    <t>NACE C - 20.3 Manufacture of paints, varnishes and similar coatings, printing ink and mastics</t>
  </si>
  <si>
    <t>NACE C - 20.4 Manufacture of washing, cleaning and polishing preparations</t>
  </si>
  <si>
    <t>NACE C - 20.5 Manufacture of other chemical products</t>
  </si>
  <si>
    <t>NACE C - 20.6 Manufacture of man-made fibres</t>
  </si>
  <si>
    <t>NACE C - 21 Manufacture of basic pharmaceutical products and pharmaceutical preparations</t>
  </si>
  <si>
    <t>NACE C - 21.1 Manufacture of basic pharmaceutical products</t>
  </si>
  <si>
    <t>NACE C - 21.2 Manufacture of pharmaceutical preparations</t>
  </si>
  <si>
    <t>NACE C - 22 Manufacture of rubber and plastic products</t>
  </si>
  <si>
    <t>NACE C - 22.1 Manufacture of rubber products</t>
  </si>
  <si>
    <t>NACE C - 22.2 Manufacture of plastic products</t>
  </si>
  <si>
    <t>NACE C - 23 Manufacture of other non-metallic mineral products</t>
  </si>
  <si>
    <t>NACE C - 23.1 Manufacture of glass and glass products</t>
  </si>
  <si>
    <t>NACE C - 23.2 Manufacture of refractory products</t>
  </si>
  <si>
    <t>NACE C - 23.3 Manufacture of clay building materials</t>
  </si>
  <si>
    <t>NACE C - 23.4 Manufacture of other porcelain and ceramic products</t>
  </si>
  <si>
    <t>NACE C - 23.5 Manufacture of cement, lime and plaster</t>
  </si>
  <si>
    <t>NACE C - 23.6 Manufacture of articles of concrete, cement and plaster</t>
  </si>
  <si>
    <t>NACE C - 23.7 Cutting, shaping and finishing of stone</t>
  </si>
  <si>
    <t>NACE C - 23.9 Manufacture of abrasive products and non-metallic mineral products n.e.c.</t>
  </si>
  <si>
    <t>NACE C - 24 Manufacture of basic metals</t>
  </si>
  <si>
    <t>NACE C - 24.1 Manufacture of basic iron and steel and of ferro-alloys</t>
  </si>
  <si>
    <t>NACE C - 24.2 Manufacture of tubes, pipes, hollow profiles and related fittings, of steel</t>
  </si>
  <si>
    <t>NACE C - 24.3 Manufacture of other products of first processing of steel</t>
  </si>
  <si>
    <t>NACE C - 24.4 Manufacture of basic precious and other non-ferrous metals</t>
  </si>
  <si>
    <t>NACE C - 24.5 Casting of metals</t>
  </si>
  <si>
    <t>NACE C - 25 Manufacture of fabricated metal products, except machinery and equipment</t>
  </si>
  <si>
    <t>NACE C - 25.1 Manufacture of structural metal products</t>
  </si>
  <si>
    <t>NACE C - 25.2 Manufacture of tanks, reservoirs and containers of metal</t>
  </si>
  <si>
    <t>NACE C - 25.3 Manufacture of weapons and ammunition</t>
  </si>
  <si>
    <t>NACE C - 25.4 Forging and shaping metal and powder metallurgy</t>
  </si>
  <si>
    <t>NACE C - 25.5 Treatment and coating of metals; machining</t>
  </si>
  <si>
    <t>NACE C - 25.6 Manufacture of cutlery, tools and general hardware</t>
  </si>
  <si>
    <t>NACE C - 25.9 Manufacture of other fabricated metal products</t>
  </si>
  <si>
    <t>NACE C - 26 Manufacture of computer, electronic and optical products</t>
  </si>
  <si>
    <t>NACE C - 26.1 Manufacture of electronic components and boards</t>
  </si>
  <si>
    <t>NACE C - 26.2 Manufacture of computers and peripheral equipment</t>
  </si>
  <si>
    <t>NACE C - 26.3 Manufacture of communication equipment</t>
  </si>
  <si>
    <t>NACE C - 26.4 Manufacture of consumer electronics</t>
  </si>
  <si>
    <t>NACE C - 26.5 Manufacture of measuring testing instruments, clocks and watches</t>
  </si>
  <si>
    <t>NACE C - 26.6 Manufacture of irradiation, electromedical and electrotherapeutic equipment</t>
  </si>
  <si>
    <t>NACE C - 26.7 Manufacture of optical instruments, magnetic and optical media and photographic equipment</t>
  </si>
  <si>
    <t>NACE C - 27 Manufacture of electrical equipment</t>
  </si>
  <si>
    <t>NACE C - 27.1 Manufacture of electric motors, generators, transformers and electricity distribution and control apparatus</t>
  </si>
  <si>
    <t>NACE C - 27.2 Manufacture of batteries and accumulators</t>
  </si>
  <si>
    <t>NACE C - 27.3 Manufacture of wiring and wiring devices</t>
  </si>
  <si>
    <t>NACE C - 27.4 Manufacture of lighting equipment</t>
  </si>
  <si>
    <t>NACE C - 27.5 Manufacture of domestic appliances</t>
  </si>
  <si>
    <t>NACE C - 27.9 Manufacture of other electrical equipment</t>
  </si>
  <si>
    <t>NACE C - 28 Manufacture of machinery and equipment n.e.c.</t>
  </si>
  <si>
    <t>NACE C - 28.1 Manufacture of general-purpose machinery</t>
  </si>
  <si>
    <t>NACE C - 28.2 Manufacture of other general-purpose machinery</t>
  </si>
  <si>
    <t>NACE C - 28.3 Manufacture of agricultural and forestry machinery</t>
  </si>
  <si>
    <t>NACE C - 28.4 Manufacture of metal forming machinery and machine tools</t>
  </si>
  <si>
    <t>NACE C - 28.9 Manufacture of other special-purpose machinery</t>
  </si>
  <si>
    <t>NACE C - 29 Manufacture of motor vehicles, trailers and semi-trailers</t>
  </si>
  <si>
    <t>NACE C - 29.1 Manufacture of motor vehicles</t>
  </si>
  <si>
    <t>NACE C - 29.2 Manufacture of bodies and coachwork for motor vehicles; manufacture of trailers and semi-trailers</t>
  </si>
  <si>
    <t>NACE C - 29.3 Manufacture of motor vehicle parts and accessories</t>
  </si>
  <si>
    <t>NACE C - 30 Manufacture of other transport equipment</t>
  </si>
  <si>
    <t>NACE C - 30.1 Building of ships and boats</t>
  </si>
  <si>
    <t>NACE C - 30.2 Manufacture of railway locomotives and rolling stock</t>
  </si>
  <si>
    <t>NACE C - 30.3 Manufacture of air and spacecraft and related machinery</t>
  </si>
  <si>
    <t>NACE C - 30.4 Manufacture of military fighting vehicles</t>
  </si>
  <si>
    <t>NACE C - 30.9 Manufacture of transport equipment n.e.c.</t>
  </si>
  <si>
    <t>NACE C - 31 Manufacture of furniture</t>
  </si>
  <si>
    <t>NACE C - 31.0 Manufacture of furniture</t>
  </si>
  <si>
    <t>NACE C - 32 Other manufacturing</t>
  </si>
  <si>
    <t>NACE C - 32.1 Manufacture of jewellery, bijouterie and related articles</t>
  </si>
  <si>
    <t>NACE C - 32.2 Manufacture of musical instruments</t>
  </si>
  <si>
    <t>NACE C - 32.3 Manufacture of sports goods</t>
  </si>
  <si>
    <t>NACE C - 32.4 Manufacture of games and toys</t>
  </si>
  <si>
    <t>NACE C - 32.5 Manufacture of medical and dental instruments and supplies</t>
  </si>
  <si>
    <t>NACE C - 32.9 Manufacturing n.e.c.</t>
  </si>
  <si>
    <t>NACE C - 33 Repair, maintenance and installation of machinery and equipment</t>
  </si>
  <si>
    <t>NACE C - 33.1 Repair and maintenance of fabricated metal products, machinery and equipment</t>
  </si>
  <si>
    <t>NACE C - 33.2 Installation of industrial machinery and equipment</t>
  </si>
  <si>
    <t>NACE D - ELECTRICITY, GAS, STEAM AND AIR CONDITIONING SUPPLY</t>
  </si>
  <si>
    <t>NACE D - 35 Electricity, gas, steam and air conditioning supply</t>
  </si>
  <si>
    <t>NACE D - 35.1 Electric power generation, transmission and distribution</t>
  </si>
  <si>
    <t>NACE D - 35.2 Manufacture of gas, and distribution of gaseous fuels through mains</t>
  </si>
  <si>
    <t>NACE D - 35.3 Steam and air conditioning supply</t>
  </si>
  <si>
    <t>NACE D - 35.4 Activities of brokers and agents for electric power and natural gas</t>
  </si>
  <si>
    <t>NACE E - WATER SUPPLY; SEWERAGE, WASTE MANAGEMENT AND REMEDIATION ACTIVITIES</t>
  </si>
  <si>
    <t>NACE E - 36 Water collection, treatment and supply</t>
  </si>
  <si>
    <t>NACE E - 36.0 Water collection, treatment and supply</t>
  </si>
  <si>
    <t>NACE E - 37 Sewerage</t>
  </si>
  <si>
    <t>NACE E - 37.0 Sewerage</t>
  </si>
  <si>
    <t>NACE E - 38 Waste collection, recovery and disposal activities</t>
  </si>
  <si>
    <t>NACE E - 38.1 Waste collection</t>
  </si>
  <si>
    <t>NACE E - 38.2 Waste recovery</t>
  </si>
  <si>
    <t>NACE E - 38.3 Waste disposal without recovery</t>
  </si>
  <si>
    <t>NACE E - 39 Remediation activities and other waste management service activities</t>
  </si>
  <si>
    <t>NACE E - 39.0 Remediation activities and other waste management service activities</t>
  </si>
  <si>
    <t>NACE F - CONSTRUCTION</t>
  </si>
  <si>
    <t>NACE F - 41 Construction of residential and non-residential buildings</t>
  </si>
  <si>
    <t>NACE F - 41.0 Construction of residential and non-residential buildings</t>
  </si>
  <si>
    <t>NACE F - 42 Civil engineering</t>
  </si>
  <si>
    <t>NACE F - 42.1 Construction of roads and railways</t>
  </si>
  <si>
    <t>NACE F - 42.2 Construction of utility projects</t>
  </si>
  <si>
    <t>NACE F - 42.9 Construction of other civil engineering projects</t>
  </si>
  <si>
    <t>NACE F - 43 Specialised construction activities</t>
  </si>
  <si>
    <t>NACE F - 43.1 Demolition and site preparation</t>
  </si>
  <si>
    <t>NACE F - 43.2 Electrical, plumbing and other construction installation activities</t>
  </si>
  <si>
    <t>NACE F - 43.3 Building completion and finishing</t>
  </si>
  <si>
    <t>NACE F - 43.4 Specialised construction activities in construction of buildings</t>
  </si>
  <si>
    <t>NACE F - 43.5 Specialised construction activities in civil engineering</t>
  </si>
  <si>
    <t>NACE F - 43.6 Intermediation service activities for specialised construction services</t>
  </si>
  <si>
    <t>NACE F - 43.9 Other specialised construction activities</t>
  </si>
  <si>
    <t>NACE G - WHOLESALE AND RETAIL TRADE</t>
  </si>
  <si>
    <t>NACE G - 46 Wholesale trade</t>
  </si>
  <si>
    <t>NACE G - 46.1 Wholesale on a fee or contract basis</t>
  </si>
  <si>
    <t>NACE G - 46.2 Wholesale of agricultural raw materials and live animals</t>
  </si>
  <si>
    <t>NACE G - 46.3 Wholesale of food, beverages and tobacco</t>
  </si>
  <si>
    <t>NACE G - 46.4 Wholesale of household goods</t>
  </si>
  <si>
    <t>NACE G - 46.5 Wholesale of information and communication equipment</t>
  </si>
  <si>
    <t>NACE G - 46.6 Wholesale of other machinery, equipment and supplies</t>
  </si>
  <si>
    <t>NACE G - 46.7 Wholesale of motor vehicles, motorcycles and related parts and accessories</t>
  </si>
  <si>
    <t>NACE G - 46.8 Other specialised wholesale</t>
  </si>
  <si>
    <t>NACE G - 46.9 Non-specialised wholesale trade</t>
  </si>
  <si>
    <t>NACE G - 47 Retail trade</t>
  </si>
  <si>
    <t>NACE G - 47.1 Non-specialised retail sale</t>
  </si>
  <si>
    <t>NACE G - 47.2 Retail sale of food, beverages and tobacco</t>
  </si>
  <si>
    <t>NACE G - 47.3 Retail sale of automotive fuel</t>
  </si>
  <si>
    <t>NACE G - 47.4 Retail sale of information and communication equipment</t>
  </si>
  <si>
    <t>NACE G - 47.5 Retail sale of other household equipment</t>
  </si>
  <si>
    <t>NACE G - 47.6 Retail sale of cultural and recreation goods</t>
  </si>
  <si>
    <t>NACE G - 47.7 Retail sale of other goods, except motor vehicles and motorcycles</t>
  </si>
  <si>
    <t>NACE G - 47.8 Retail sale of motor vehicles, motorcycles and related parts and accessories</t>
  </si>
  <si>
    <t>NACE G - 47.9 Intermediation service activities for retail sale</t>
  </si>
  <si>
    <t>NACE H - TRANSPORTATION AND STORAGE</t>
  </si>
  <si>
    <t>NACE H - 49 Land transport and transport via pipelines</t>
  </si>
  <si>
    <t>NACE H - 49.1 Passenger rail transport</t>
  </si>
  <si>
    <t>NACE H - 49.2 Freight rail transport</t>
  </si>
  <si>
    <t>NACE H - 49.3 Other passenger land transport</t>
  </si>
  <si>
    <t>NACE H - 49.4 Freight transport by road and removal services</t>
  </si>
  <si>
    <t>NACE H - 49.5 Transport via pipeline</t>
  </si>
  <si>
    <t>NACE H - 50 Water transport</t>
  </si>
  <si>
    <t>NACE H - 50.1 Sea and coastal passenger water transport</t>
  </si>
  <si>
    <t>NACE H - 50.2 Sea and coastal freight water transport</t>
  </si>
  <si>
    <t>NACE H - 50.3 Inland passenger water transport</t>
  </si>
  <si>
    <t>NACE H - 50.4 Inland freight water transport</t>
  </si>
  <si>
    <t>NACE H - 51 Air transport</t>
  </si>
  <si>
    <t>NACE H - 51.1 Passenger air transport</t>
  </si>
  <si>
    <t>NACE H - 51.2 Freight air transport and space transport</t>
  </si>
  <si>
    <t>NACE H - 52 Warehousing, storage and support activities for transportation</t>
  </si>
  <si>
    <t>NACE H - 52.1 Warehousing and storage</t>
  </si>
  <si>
    <t>NACE H - 52.2 Support activities for transportation</t>
  </si>
  <si>
    <t>NACE H - 52.3 Intermediation service activities for transportation</t>
  </si>
  <si>
    <t>NACE H - 53 Postal and courier activities</t>
  </si>
  <si>
    <t>NACE H - 53.1 Postal activities under universal service obligation</t>
  </si>
  <si>
    <t>NACE H - 53.2 Other postal and courier activities</t>
  </si>
  <si>
    <t>NACE H - 53.3 Intermediation service activities for postal and courier activities</t>
  </si>
  <si>
    <t>NACE I - ACCOMMODATION AND FOOD SERVICE ACTIVITIES</t>
  </si>
  <si>
    <t>NACE I - 55 Accommodation</t>
  </si>
  <si>
    <t>NACE I - 55.1 Hotels and similar accommodation</t>
  </si>
  <si>
    <t>NACE I - 55.2 Holiday and other short-stay accommodation</t>
  </si>
  <si>
    <t>NACE I - 55.3 Camping grounds and recreational vehicle parks</t>
  </si>
  <si>
    <t>NACE I - 55.4 Intermediation service activities for accommodation</t>
  </si>
  <si>
    <t>NACE I - 55.9 Other accommodation</t>
  </si>
  <si>
    <t>NACE I - 56 Food and beverage service activities</t>
  </si>
  <si>
    <t>NACE I - 56.1 Restaurants and mobile food service activities</t>
  </si>
  <si>
    <t>NACE I - 56.2 Event catering, contract catering service activities and other food service activities</t>
  </si>
  <si>
    <t>NACE I - 56.21 Event catering activities</t>
  </si>
  <si>
    <t>NACE I - 56.3 Beverage serving activities</t>
  </si>
  <si>
    <t>NACE I - 56.4 Intermediation service activities for food and beverage services activities</t>
  </si>
  <si>
    <t>NACE J - PUBLISHING, BROADCASTING, AND CONTENT PRODUCTION AND DISTRIBUTION ACTIVITIES</t>
  </si>
  <si>
    <t>NACE J - 58 Publishing activities</t>
  </si>
  <si>
    <t>NACE J - 58.1 Publishing of books, newspapers and other publishing activities, except software publishing</t>
  </si>
  <si>
    <t>NACE J - 58.2 Software publishing</t>
  </si>
  <si>
    <t>NACE J - 59 Motion picture, video and television programme production, sound recording and music publishing activities</t>
  </si>
  <si>
    <t>NACE J - 59.1 Motion picture, video and television programme activities</t>
  </si>
  <si>
    <t>NACE J - 59.2 Sound recording and music publishing activities</t>
  </si>
  <si>
    <t>NACE J - 60 Programming, broadcasting, news agency and other content distribution activities</t>
  </si>
  <si>
    <t>NACE J - 60.1 Radio broadcasting and audio distribution activities</t>
  </si>
  <si>
    <t>NACE J - 60.2 Television programming, broadcasting and video distribution activities</t>
  </si>
  <si>
    <t>NACE J - 60.3 News agency and other content distribution activities</t>
  </si>
  <si>
    <t>NACE K - TELECOMMUNICATION, COMPUTER PROGRAMMING, CONSULTING, COMPUTING INFRASTRUCTURE AND OTHER INFORMATION SERVICE ACTIVITIES</t>
  </si>
  <si>
    <t>NACE K - 61 Telecommunication</t>
  </si>
  <si>
    <t>NACE K - 61.1 Wired, wireless, and satellite telecommunication activities</t>
  </si>
  <si>
    <t>NACE K - 61.2 Telecommunication reselling activities and intermediation service activities for telecommunication</t>
  </si>
  <si>
    <t>NACE K - 61.9 Other telecommunication activities</t>
  </si>
  <si>
    <t>NACE K - 62 Computer programming, consultancy and related activities</t>
  </si>
  <si>
    <t>NACE K - 62.1 Computer programming activities</t>
  </si>
  <si>
    <t>NACE K - 62.2 Computer consultancy and computer facilities management activities</t>
  </si>
  <si>
    <t>NACE K - 62.9 Other information technology and computer service activities</t>
  </si>
  <si>
    <t>NACE K - 63 Computing infrastructure, data processing, hosting and other information service activities</t>
  </si>
  <si>
    <t>NACE K - 63.1 Computing infrastructure, data processing, hosting and related activities</t>
  </si>
  <si>
    <t>NACE K - 63.9 Web search portal activities and other information service activities</t>
  </si>
  <si>
    <t>NACE L - FINANCIAL AND INSURANCE ACTIVITIES</t>
  </si>
  <si>
    <t>NACE L - 64 Financial service activities, except insurance and pension funding</t>
  </si>
  <si>
    <t>NACE L - 64.1 Monetary intermediation</t>
  </si>
  <si>
    <t>NACE L - 64.2 Activities of holding companies and financing conduits</t>
  </si>
  <si>
    <t>NACE L - 64.3 Activities of trusts, funds and similar financial entities</t>
  </si>
  <si>
    <t>NACE L - 64.9 Other financial service activities, except insurance and pension funding</t>
  </si>
  <si>
    <t>NACE L - 65 Insurance, reinsurance and pension funding, except compulsory social security</t>
  </si>
  <si>
    <t>NACE L - 65.1 Insurance</t>
  </si>
  <si>
    <t>NACE L - 65.2 Reinsurance</t>
  </si>
  <si>
    <t>NACE L - 65.3 Pension funding</t>
  </si>
  <si>
    <t>NACE L - 66 Activities auxiliary to financial services and insurance activities</t>
  </si>
  <si>
    <t>NACE L - 66.1 Activities auxiliary to financial services, except insurance and pension funding</t>
  </si>
  <si>
    <t>NACE L - 66.2 Activities auxiliary to insurance and pension funding</t>
  </si>
  <si>
    <t>NACE L - 66.3 Fund management activities</t>
  </si>
  <si>
    <t>NACE M - REAL ESTATE ACTIVITIES</t>
  </si>
  <si>
    <t>NACE M - 68 Real estate activities</t>
  </si>
  <si>
    <t>NACE M - 68.1 Real estate activities with own property and development of building projects</t>
  </si>
  <si>
    <t>NACE M - 68.2 Rental and operating of own or leased real estate</t>
  </si>
  <si>
    <t>NACE M - 68.3 Real estate activities on a fee or contract basis</t>
  </si>
  <si>
    <t>NACE N - PROFESSIONAL, SCIENTIFIC AND TECHNICAL ACTIVITIES</t>
  </si>
  <si>
    <t>NACE N - 69 Legal and accounting activities</t>
  </si>
  <si>
    <t>NACE N - 69.1 Legal activities</t>
  </si>
  <si>
    <t>NACE N - 69.2 Accounting, bookkeeping and auditing activities; tax consultancy</t>
  </si>
  <si>
    <t>NACE N - 70 Activities of head offices and management consultancy</t>
  </si>
  <si>
    <t>NACE N - 70.1 Activities of head offices</t>
  </si>
  <si>
    <t>NACE N - 70.2 Business and other management consultancy activities</t>
  </si>
  <si>
    <t>NACE N - 71 Architectural and engineering activities; technical testing and analysis</t>
  </si>
  <si>
    <t>NACE N - 71.1 Architectural and engineering activities and related technical consultancy</t>
  </si>
  <si>
    <t>NACE N - 71.2 Technical testing and analysis</t>
  </si>
  <si>
    <t>NACE N - 72 Scientific research and development</t>
  </si>
  <si>
    <t>NACE N - 72.1 Research and experimental development on natural sciences and engineering</t>
  </si>
  <si>
    <t>NACE N - 72.2 Research and experimental development on social sciences and humanities</t>
  </si>
  <si>
    <t>NACE N - 73 Activities of advertising, market research and public relations</t>
  </si>
  <si>
    <t>NACE N - 73.1 Advertising</t>
  </si>
  <si>
    <t>NACE N - 73.2 Market research and public opinion polling</t>
  </si>
  <si>
    <t>NACE N - 73.3 Public relations and communication activities</t>
  </si>
  <si>
    <t>NACE N - 74 Other professional, scientific and technical activities</t>
  </si>
  <si>
    <t>NACE N - 74.1 Specialised design activities</t>
  </si>
  <si>
    <t>NACE N - 74.2 Photographic activities</t>
  </si>
  <si>
    <t>NACE N - 74.3 Translation and interpretation activities</t>
  </si>
  <si>
    <t>NACE N - 74.9 Other professional, scientific and technical activities n.e.c.</t>
  </si>
  <si>
    <t>NACE N - 75 Veterinary activities</t>
  </si>
  <si>
    <t>NACE N - 75.0 Veterinary activities</t>
  </si>
  <si>
    <t>NACE O - ADMINISTRATIVE AND SUPPORT SERVICE ACTIVITIES</t>
  </si>
  <si>
    <t>NACE O - 77 Rental and leasing activities</t>
  </si>
  <si>
    <t>NACE O - 77.1 Rental and leasing of motor vehicles</t>
  </si>
  <si>
    <t>NACE O - 77.2 Rental and leasing of personal and household goods</t>
  </si>
  <si>
    <t>NACE O - 77.3 Rental and leasing of other machinery, equipment and tangible goods</t>
  </si>
  <si>
    <t>NACE O - 77.4 Leasing of intellectual property and similar products, except copyrighted works</t>
  </si>
  <si>
    <t>NACE O - 77.5 Intermediation service activities for rental and leasing of tangible goods and non-financial intangible assets</t>
  </si>
  <si>
    <t>NACE O - 78 Employment activities</t>
  </si>
  <si>
    <t>NACE O - 78.1 Activities of employment placement agencies</t>
  </si>
  <si>
    <t>NACE O - 78.2 Temporary employment agency activities and other human resource provisions</t>
  </si>
  <si>
    <t>NACE O - 79 Travel agency, tour operator and other reservation service and related activities</t>
  </si>
  <si>
    <t>NACE O - 79.1 Travel agency and tour operator activities</t>
  </si>
  <si>
    <t>NACE O - 79.9 Other reservation service and related activities</t>
  </si>
  <si>
    <t>NACE O - 80 Investigation and security activities</t>
  </si>
  <si>
    <t>NACE O - 80.0 Investigation and security activities</t>
  </si>
  <si>
    <t>NACE O - 81 Services to buildings and landscape activities</t>
  </si>
  <si>
    <t>NACE O - 81.1 Combined facilities support activities</t>
  </si>
  <si>
    <t>NACE O - 81.2 Cleaning activities</t>
  </si>
  <si>
    <t>NACE O - 81.3 Landscape service activities</t>
  </si>
  <si>
    <t>NACE O - 82 Office administrative, office support and other business support activities</t>
  </si>
  <si>
    <t>NACE O - 82.1 Office administrative and support activities</t>
  </si>
  <si>
    <t>NACE O - 82.2 Activities of call centres</t>
  </si>
  <si>
    <t>NACE O - 82.3 Organisation of conventions and trade shows</t>
  </si>
  <si>
    <t>NACE O - 82.4 Intermediation service activities for business support service activities n.e.c.</t>
  </si>
  <si>
    <t>NACE O - 82.9 Business support service activities n.e.c.</t>
  </si>
  <si>
    <t>NACE P - PUBLIC ADMINISTRATION AND DEFENCE; COMPULSORY SOCIAL SECURITY</t>
  </si>
  <si>
    <t>NACE P - 84 Public administration and defence; compulsory social security</t>
  </si>
  <si>
    <t>NACE P - 84.1 Administration of the State and the economic, social and environmental policies of the community</t>
  </si>
  <si>
    <t>NACE P - 84.2 Provision of services to the community as a whole</t>
  </si>
  <si>
    <t>NACE P - 84.3 Compulsory social security activities</t>
  </si>
  <si>
    <t>NACE Q - EDUCATION</t>
  </si>
  <si>
    <t>NACE Q - 85 Education</t>
  </si>
  <si>
    <t>NACE Q - 85.1 Pre-primary education</t>
  </si>
  <si>
    <t>NACE Q - 85.2 Primary education</t>
  </si>
  <si>
    <t>NACE Q - 85.3 Secondary and post-secondary non-tertiary education</t>
  </si>
  <si>
    <t>NACE Q - 85.4 Tertiary education</t>
  </si>
  <si>
    <t>NACE Q - 85.5 Other education</t>
  </si>
  <si>
    <t>NACE Q - 85.6 Educational support activities</t>
  </si>
  <si>
    <t>NACE R - HUMAN HEALTH AND SOCIAL WORK ACTIVITIES</t>
  </si>
  <si>
    <t>NACE R - 86 Human health activities</t>
  </si>
  <si>
    <t>NACE R - 86.1 Hospital activities</t>
  </si>
  <si>
    <t>NACE R - 86.2 Medical and dental practice activities</t>
  </si>
  <si>
    <t>NACE R - 86.9 Other human health activities</t>
  </si>
  <si>
    <t>NACE R - 87 Residential care activities</t>
  </si>
  <si>
    <t>NACE R - 87.1 Residential nursing care activities</t>
  </si>
  <si>
    <t>NACE R - 87.2 Residential care activities for persons living with or having a diagnosis of a mental illness or substance abuse</t>
  </si>
  <si>
    <t>NACE R - 87.3 Residential care activities for older persons or persons with physical disabilities</t>
  </si>
  <si>
    <t>NACE R - 87.9 Other residential care activities</t>
  </si>
  <si>
    <t>NACE R - 88 Social work activities without accommodation</t>
  </si>
  <si>
    <t>NACE R - 88.1 Social work activities without accommodation for older persons or persons with disabilities</t>
  </si>
  <si>
    <t>NACE R - 88.9 Other social work activities without accommodation</t>
  </si>
  <si>
    <t>NACE S - ARTS, SPORTS AND RECREATION</t>
  </si>
  <si>
    <t>NACE S - 90 Arts creation and performing arts activities</t>
  </si>
  <si>
    <t>NACE S - 90.1 Arts creation activities</t>
  </si>
  <si>
    <t>NACE S - 90.2 Activities of performing arts</t>
  </si>
  <si>
    <t>NACE S - 90.3 Support activities to arts creation and performing arts</t>
  </si>
  <si>
    <t>NACE S - 91 Libraries, archives, museums and other cultural activities</t>
  </si>
  <si>
    <t>NACE S - 91.1 Library and archive activities</t>
  </si>
  <si>
    <t>NACE S - 91.2 Museum, collection, historical site and monument activities</t>
  </si>
  <si>
    <t>NACE S - 91.3 Conservation, restoration and other support activities for cultural heritage</t>
  </si>
  <si>
    <t>NACE S - 91.4 Botanical and zoological garden and nature reserve activities</t>
  </si>
  <si>
    <t>NACE S - 92 Gambling and betting activities</t>
  </si>
  <si>
    <t>NACE S - 92.0 Gambling and betting activities</t>
  </si>
  <si>
    <t>NACE S - 93 Sports activities and amusement and recreation activities</t>
  </si>
  <si>
    <t>NACE S - 93.1 Sports activities</t>
  </si>
  <si>
    <t>NACE S - 93.2 Amusement and recreation activities</t>
  </si>
  <si>
    <t>NACE T - OTHER SERVICE ACTIVITIES</t>
  </si>
  <si>
    <t>NACE T - 94 Activities of membership organisations</t>
  </si>
  <si>
    <t>NACE T - 94.1 Activities of business, employers and professional membership organisations</t>
  </si>
  <si>
    <t>NACE T - 94.2 Activities of trade unions</t>
  </si>
  <si>
    <t>NACE T - 94.9 Activities of other membership organisations</t>
  </si>
  <si>
    <t>NACE T - 95 Repair and maintenance of computers, personal and household goods, and motor vehicles and motorcycles</t>
  </si>
  <si>
    <t>NACE T - 95.1 Repair and maintenance of computers and communication equipment</t>
  </si>
  <si>
    <t>NACE T - 95.2 Repair and maintenance of personal and household goods</t>
  </si>
  <si>
    <t>NACE T - 95.3 Repair and maintenance of motor vehicles and motorcycles</t>
  </si>
  <si>
    <t>NACE T - 95.4 Intermediation service activities for repair and maintenance of computers, personal and household goods, and motor vehicles and motorcycles</t>
  </si>
  <si>
    <t>NACE T - 96 Personal service activities</t>
  </si>
  <si>
    <t>NACE T - 96.1 Washing and cleaning of textile and fur products</t>
  </si>
  <si>
    <t>NACE T - 96.2 Hairdressing, beauty treatment, day spa and similar activities</t>
  </si>
  <si>
    <t>NACE T - 96.3 Funeral and related activities</t>
  </si>
  <si>
    <t>NACE T - 96.4 Intermediation service activities for personal services</t>
  </si>
  <si>
    <t>NACE T - 96.9 Other personal service activities</t>
  </si>
  <si>
    <t>NACE U - ACTIVITIES OF HOUSEHOLDS AS EMPLOYERS AND UNDIFFERENTIATED GOODS – AND SERVICE-PRODUCING ACTIVITIES OF HOUSEHOLDS FOR OWN USE</t>
  </si>
  <si>
    <t>NACE U - 97 Activities of households as employers of domestic personnel</t>
  </si>
  <si>
    <t>NACE U - 97.0 Activities of households as employers of domestic personnel</t>
  </si>
  <si>
    <t>NACE U - 98 Undifferentiated goods- and service-producing activities of private households for own use</t>
  </si>
  <si>
    <t>NACE U - 98.1 Undifferentiated goods-producing activities of private households for own use</t>
  </si>
  <si>
    <t>NACE U - 98.2 Undifferentiated service-producing activities of private households for own use</t>
  </si>
  <si>
    <t>NACE V - ACTIVITIES OF EXTRATERRITORIAL ORGANISATIONS AND BODIES</t>
  </si>
  <si>
    <t>NACE V - 99 Activities of extraterritorial organisations and bodies</t>
  </si>
  <si>
    <t>NACE V - 99.0 Activities of extraterritorial organisations and bodies</t>
  </si>
  <si>
    <t>-</t>
  </si>
  <si>
    <t xml:space="preserve">14. Franchises </t>
  </si>
  <si>
    <t>hectares (ha)</t>
  </si>
  <si>
    <t>Longitude</t>
  </si>
  <si>
    <t>Latitude</t>
  </si>
  <si>
    <t>g</t>
  </si>
  <si>
    <t>hg</t>
  </si>
  <si>
    <t>t</t>
  </si>
  <si>
    <t>Mg</t>
  </si>
  <si>
    <t>Gg</t>
  </si>
  <si>
    <t>Tg</t>
  </si>
  <si>
    <t>dag</t>
  </si>
  <si>
    <t>Typical renewability state</t>
  </si>
  <si>
    <t>a.</t>
  </si>
  <si>
    <t>b.</t>
  </si>
  <si>
    <t>c.</t>
  </si>
  <si>
    <t>d.</t>
  </si>
  <si>
    <t>e.</t>
  </si>
  <si>
    <t>f.</t>
  </si>
  <si>
    <t>g.</t>
  </si>
  <si>
    <t>h.</t>
  </si>
  <si>
    <t>i.</t>
  </si>
  <si>
    <t>l.</t>
  </si>
  <si>
    <t>m.</t>
  </si>
  <si>
    <t>n.</t>
  </si>
  <si>
    <t>o.</t>
  </si>
  <si>
    <t>p.</t>
  </si>
  <si>
    <t>q.</t>
  </si>
  <si>
    <t>r.</t>
  </si>
  <si>
    <t>s.</t>
  </si>
  <si>
    <t>t.</t>
  </si>
  <si>
    <t>j.</t>
  </si>
  <si>
    <t>k.</t>
  </si>
  <si>
    <r>
      <rPr>
        <sz val="11"/>
        <rFont val="Aptos Narrow"/>
        <family val="2"/>
        <scheme val="minor"/>
      </rPr>
      <t xml:space="preserve">                              </t>
    </r>
    <r>
      <rPr>
        <u/>
        <sz val="11"/>
        <color theme="10"/>
        <rFont val="Aptos Narrow"/>
        <family val="2"/>
        <scheme val="minor"/>
      </rPr>
      <t>https://www.bhel.com/sites/default/files/gas-properties-cog-1580716150.pdf</t>
    </r>
    <r>
      <rPr>
        <u/>
        <sz val="11"/>
        <rFont val="Aptos Narrow"/>
        <family val="2"/>
        <scheme val="minor"/>
      </rPr>
      <t>;</t>
    </r>
  </si>
  <si>
    <r>
      <rPr>
        <sz val="11"/>
        <color theme="10"/>
        <rFont val="Aptos Narrow"/>
        <family val="2"/>
        <scheme val="minor"/>
      </rPr>
      <t xml:space="preserve">                               </t>
    </r>
    <r>
      <rPr>
        <u/>
        <sz val="11"/>
        <color theme="10"/>
        <rFont val="Aptos Narrow"/>
        <family val="2"/>
        <scheme val="minor"/>
      </rPr>
      <t>https://www.exxonmobil.com/en-bd/commercial-fuel/pds/gl-xx-jetfuel-series;</t>
    </r>
  </si>
  <si>
    <r>
      <rPr>
        <sz val="11"/>
        <color theme="10"/>
        <rFont val="Aptos Narrow"/>
        <family val="2"/>
        <scheme val="minor"/>
      </rPr>
      <t xml:space="preserve">                               </t>
    </r>
    <r>
      <rPr>
        <u/>
        <sz val="11"/>
        <color theme="10"/>
        <rFont val="Aptos Narrow"/>
        <family val="2"/>
        <scheme val="minor"/>
      </rPr>
      <t>https://www.researchgate.net/figure/Density-and-viscosity-of-shale-oil-in-Lucaogou-Formation-Jimsar-Sag_tbl1_336793871;</t>
    </r>
  </si>
  <si>
    <t>https://xbrl.efrag.org/taxonomy/vsme/2024-12-17/vsme-all.xsd</t>
  </si>
  <si>
    <t>Source</t>
  </si>
  <si>
    <t>LEI</t>
  </si>
  <si>
    <t>DUNS</t>
  </si>
  <si>
    <t>PermID</t>
  </si>
  <si>
    <t>Copyright (c) 2025 EFRAG</t>
  </si>
  <si>
    <t>71-72</t>
  </si>
  <si>
    <t>24(e)(v)</t>
  </si>
  <si>
    <t>224-227</t>
  </si>
  <si>
    <t>38(a) and 38(b)</t>
  </si>
  <si>
    <t>62(c)</t>
  </si>
  <si>
    <t>1.0.0</t>
  </si>
  <si>
    <t>24(a)</t>
  </si>
  <si>
    <t>24(b)</t>
  </si>
  <si>
    <t>24(c)</t>
  </si>
  <si>
    <t>24(e)(ii)</t>
  </si>
  <si>
    <t>69 - 70</t>
  </si>
  <si>
    <t>24(e)(iii)</t>
  </si>
  <si>
    <t>24(e)(iv)</t>
  </si>
  <si>
    <t xml:space="preserve"> 71-72</t>
  </si>
  <si>
    <t xml:space="preserve"> 73 -76</t>
  </si>
  <si>
    <t>24(e)(vi)</t>
  </si>
  <si>
    <t>24(d)</t>
  </si>
  <si>
    <t>24(e)(vii)</t>
  </si>
  <si>
    <t>26-28</t>
  </si>
  <si>
    <t>78-80</t>
  </si>
  <si>
    <t>47(a)</t>
  </si>
  <si>
    <t>47(b)</t>
  </si>
  <si>
    <t>47(c)</t>
  </si>
  <si>
    <t>47(d)</t>
  </si>
  <si>
    <t>82-89</t>
  </si>
  <si>
    <t>90-109</t>
  </si>
  <si>
    <t>54(b)</t>
  </si>
  <si>
    <t>216-222</t>
  </si>
  <si>
    <t>54(a)</t>
  </si>
  <si>
    <t xml:space="preserve">54(d) </t>
  </si>
  <si>
    <t>50-53</t>
  </si>
  <si>
    <t>214-215</t>
  </si>
  <si>
    <t>54(e)</t>
  </si>
  <si>
    <t>110-133</t>
  </si>
  <si>
    <t>134-137</t>
  </si>
  <si>
    <t>138-141</t>
  </si>
  <si>
    <t>156-158</t>
  </si>
  <si>
    <t>142-155</t>
  </si>
  <si>
    <t>160-172</t>
  </si>
  <si>
    <t>38(c)</t>
  </si>
  <si>
    <t>173-174</t>
  </si>
  <si>
    <t>57(a)</t>
  </si>
  <si>
    <t>57(b)</t>
  </si>
  <si>
    <t>57(c)</t>
  </si>
  <si>
    <t>57(d)</t>
  </si>
  <si>
    <t>228-230</t>
  </si>
  <si>
    <t>39(a)</t>
  </si>
  <si>
    <t>175-182</t>
  </si>
  <si>
    <t>39(b)</t>
  </si>
  <si>
    <t>39(c)</t>
  </si>
  <si>
    <t>41(a)</t>
  </si>
  <si>
    <t>41(b)</t>
  </si>
  <si>
    <t>184-191</t>
  </si>
  <si>
    <t>42(a)</t>
  </si>
  <si>
    <t>42(b)</t>
  </si>
  <si>
    <t>42(c)</t>
  </si>
  <si>
    <t>192-193</t>
  </si>
  <si>
    <t>194-201</t>
  </si>
  <si>
    <t>202-205</t>
  </si>
  <si>
    <t>42(d)</t>
  </si>
  <si>
    <t>231-233</t>
  </si>
  <si>
    <t>234-236</t>
  </si>
  <si>
    <t>61(a)</t>
  </si>
  <si>
    <t>61(b)</t>
  </si>
  <si>
    <t>61(c)</t>
  </si>
  <si>
    <t>62(a)</t>
  </si>
  <si>
    <t>62(b)</t>
  </si>
  <si>
    <t>206-209</t>
  </si>
  <si>
    <t>63(a)</t>
  </si>
  <si>
    <t>63(b)</t>
  </si>
  <si>
    <t>63(c)</t>
  </si>
  <si>
    <t>63(d)</t>
  </si>
  <si>
    <t>239-241</t>
  </si>
  <si>
    <t>241(a)</t>
  </si>
  <si>
    <t>241(b)</t>
  </si>
  <si>
    <t>241(c)</t>
  </si>
  <si>
    <t>241(d)</t>
  </si>
  <si>
    <t>242-244</t>
  </si>
  <si>
    <t>Version :</t>
  </si>
  <si>
    <t>Date de publication :</t>
  </si>
  <si>
    <t>Point d'entrée de la taxonomie :</t>
  </si>
  <si>
    <t>Modèle numérique VSME</t>
  </si>
  <si>
    <t>Comment utiliser le modèle :</t>
  </si>
  <si>
    <t>0. Fournissez les informations obligatoires pour générer le rapport VSME et XBRL.</t>
  </si>
  <si>
    <t>1. Saisissez les informations dans les quatre feuilles (Informations générales, Informations environnementales, Informations sociales, Informations de gouvernance) dans les cellules blanches à bordure noire. Ne saisissez aucune information en dehors de ces cellules. 
Vous pouvez effectuer une recherche dans les menus déroulants en commençant à saisir dans la cellule. Des indications (messages de saisie) apparaissent dans certaines cellules lorsqu'elles sont sélectionnées.</t>
  </si>
  <si>
    <t>Légende couleur des cellules :</t>
  </si>
  <si>
    <t>Principes généraux</t>
  </si>
  <si>
    <t>Module de base</t>
  </si>
  <si>
    <t>Module narratif</t>
  </si>
  <si>
    <t>Indique que l'information est tirée des principes généraux de la Norme VSME.</t>
  </si>
  <si>
    <t>Aucune valeur ne peut être saisie dans la cellule.</t>
  </si>
  <si>
    <t>L'EFRAG est financé par l'Union européenne à travers le programme pour le marché unique auquel participent les pays de l'AELE membres de l’EEE (Norvège, Islande et Liechtenstein), ainsi que le Kosovo. Les points de vue et opinions exprimés ici sont toutefois uniquement ceux du ou des auteurs et ne reflètent pas nécessairement ceux de l'Union européenne, de la Commission européenne ou des pays participant au programme pour le marché unique. Ni l'Union européenne, ni la Commission européenne, ni les pays participant au programme pour le marché unique ne peuvent en être tenus responsables. © 2025 EFRAG Tous droits réservés.</t>
  </si>
  <si>
    <t>Informations générales</t>
  </si>
  <si>
    <t>· Informations sur la période de référence précédente</t>
  </si>
  <si>
    <t>· B1 - Base d'établissement</t>
  </si>
  <si>
    <r>
      <rPr>
        <sz val="11"/>
        <color theme="10"/>
        <rFont val="Aptos Narrow"/>
        <family val="2"/>
        <scheme val="minor"/>
      </rPr>
      <t xml:space="preserve">            </t>
    </r>
    <r>
      <rPr>
        <u/>
        <sz val="11"/>
        <color theme="10"/>
        <rFont val="Aptos Narrow"/>
        <family val="2"/>
        <scheme val="minor"/>
      </rPr>
      <t>Base d'établissement et autres informations générales relatives à l'entreprise</t>
    </r>
  </si>
  <si>
    <r>
      <rPr>
        <sz val="11"/>
        <color theme="10"/>
        <rFont val="Aptos Narrow"/>
        <family val="2"/>
        <scheme val="minor"/>
      </rPr>
      <t xml:space="preserve">             </t>
    </r>
    <r>
      <rPr>
        <u/>
        <sz val="11"/>
        <color theme="10"/>
        <rFont val="Aptos Narrow"/>
        <family val="2"/>
        <scheme val="minor"/>
      </rPr>
      <t>Liste des sites</t>
    </r>
  </si>
  <si>
    <r>
      <rPr>
        <sz val="11"/>
        <color theme="10"/>
        <rFont val="Aptos Narrow"/>
        <family val="2"/>
        <scheme val="minor"/>
      </rPr>
      <t xml:space="preserve">             </t>
    </r>
    <r>
      <rPr>
        <u/>
        <sz val="11"/>
        <color theme="10"/>
        <rFont val="Aptos Narrow"/>
        <family val="2"/>
        <scheme val="minor"/>
      </rPr>
      <t>Liste des filiales</t>
    </r>
  </si>
  <si>
    <t>· B2 - Pratiques, politiques et initiatives futures pour une transition vers une économie plus durable</t>
  </si>
  <si>
    <r>
      <rPr>
        <sz val="11"/>
        <color theme="10"/>
        <rFont val="Aptos Narrow"/>
        <family val="2"/>
        <scheme val="minor"/>
      </rPr>
      <t xml:space="preserve">            </t>
    </r>
    <r>
      <rPr>
        <u/>
        <sz val="11"/>
        <color theme="10"/>
        <rFont val="Aptos Narrow"/>
        <family val="2"/>
        <scheme val="minor"/>
      </rPr>
      <t>Practiques, politiques et initiatives future pour une transition vers une économie plus durable</t>
    </r>
  </si>
  <si>
    <r>
      <rPr>
        <sz val="11"/>
        <color theme="10"/>
        <rFont val="Aptos Narrow"/>
        <family val="2"/>
        <scheme val="minor"/>
      </rPr>
      <t xml:space="preserve">            Informations spécifiques aux c</t>
    </r>
    <r>
      <rPr>
        <u/>
        <sz val="11"/>
        <color theme="10"/>
        <rFont val="Aptos Narrow"/>
        <family val="2"/>
        <scheme val="minor"/>
      </rPr>
      <t>oopératives</t>
    </r>
  </si>
  <si>
    <t>Informations environnementales</t>
  </si>
  <si>
    <t>· B3 - Energie et émissions de gaz à effet de serre</t>
  </si>
  <si>
    <t>Table des matières</t>
  </si>
  <si>
    <r>
      <rPr>
        <sz val="11"/>
        <color theme="10"/>
        <rFont val="Aptos Narrow"/>
        <family val="2"/>
        <scheme val="minor"/>
      </rPr>
      <t xml:space="preserve">             </t>
    </r>
    <r>
      <rPr>
        <u/>
        <sz val="11"/>
        <color theme="10"/>
        <rFont val="Aptos Narrow"/>
        <family val="2"/>
        <scheme val="minor"/>
      </rPr>
      <t>Consommation totale d'énergie (en MWh)</t>
    </r>
  </si>
  <si>
    <r>
      <rPr>
        <sz val="11"/>
        <color theme="10"/>
        <rFont val="Aptos Narrow"/>
        <family val="2"/>
        <scheme val="minor"/>
      </rPr>
      <t xml:space="preserve">             </t>
    </r>
    <r>
      <rPr>
        <u/>
        <sz val="11"/>
        <color theme="10"/>
        <rFont val="Aptos Narrow"/>
        <family val="2"/>
        <scheme val="minor"/>
      </rPr>
      <t>Ventilation de la consommation d'énergie (en MWh)</t>
    </r>
  </si>
  <si>
    <r>
      <rPr>
        <sz val="11"/>
        <color theme="10"/>
        <rFont val="Aptos Narrow"/>
        <family val="2"/>
        <scheme val="minor"/>
      </rPr>
      <t xml:space="preserve">             </t>
    </r>
    <r>
      <rPr>
        <u/>
        <sz val="11"/>
        <color theme="10"/>
        <rFont val="Aptos Narrow"/>
        <family val="2"/>
        <scheme val="minor"/>
      </rPr>
      <t>Estimation des émissions de gaz à effet de serre sur la base du protocole des GES, version 2004 (en tCO</t>
    </r>
    <r>
      <rPr>
        <u/>
        <vertAlign val="subscript"/>
        <sz val="11"/>
        <color theme="10"/>
        <rFont val="Aptos Narrow"/>
        <scheme val="minor"/>
      </rPr>
      <t>2</t>
    </r>
    <r>
      <rPr>
        <u/>
        <sz val="11"/>
        <color theme="10"/>
        <rFont val="Aptos Narrow"/>
        <family val="2"/>
        <scheme val="minor"/>
      </rPr>
      <t>e)</t>
    </r>
  </si>
  <si>
    <r>
      <rPr>
        <sz val="11"/>
        <color theme="10"/>
        <rFont val="Aptos Narrow"/>
        <family val="2"/>
        <scheme val="minor"/>
      </rPr>
      <t xml:space="preserve">             Intensité des GES par rapport au chiffre d'affaires</t>
    </r>
  </si>
  <si>
    <t>· B4 - Pollution de l'air, de l'eau et des sols</t>
  </si>
  <si>
    <t>· B5 - Biodiversité</t>
  </si>
  <si>
    <r>
      <rPr>
        <sz val="11"/>
        <color theme="10"/>
        <rFont val="Aptos Narrow"/>
        <family val="2"/>
        <scheme val="minor"/>
      </rPr>
      <t xml:space="preserve">            </t>
    </r>
    <r>
      <rPr>
        <u/>
        <sz val="11"/>
        <color theme="10"/>
        <rFont val="Aptos Narrow"/>
        <family val="2"/>
        <scheme val="minor"/>
      </rPr>
      <t>Sites situés dans des zones sensibles sur le plan de la biodiversité</t>
    </r>
  </si>
  <si>
    <r>
      <rPr>
        <sz val="11"/>
        <color theme="10"/>
        <rFont val="Aptos Narrow"/>
        <family val="2"/>
        <scheme val="minor"/>
      </rPr>
      <t xml:space="preserve">            </t>
    </r>
    <r>
      <rPr>
        <u/>
        <sz val="11"/>
        <color theme="10"/>
        <rFont val="Aptos Narrow"/>
        <family val="2"/>
        <scheme val="minor"/>
      </rPr>
      <t>Biodiversité - Affectation des terres</t>
    </r>
  </si>
  <si>
    <t>· B6 - Eau</t>
  </si>
  <si>
    <r>
      <rPr>
        <sz val="11"/>
        <color theme="10"/>
        <rFont val="Aptos Narrow"/>
        <family val="2"/>
        <scheme val="minor"/>
      </rPr>
      <t xml:space="preserve">             </t>
    </r>
    <r>
      <rPr>
        <u/>
        <sz val="11"/>
        <color theme="10"/>
        <rFont val="Aptos Narrow"/>
        <family val="2"/>
        <scheme val="minor"/>
      </rPr>
      <t>Prélèvements d'eau</t>
    </r>
  </si>
  <si>
    <r>
      <rPr>
        <sz val="11"/>
        <color theme="10"/>
        <rFont val="Aptos Narrow"/>
        <family val="2"/>
        <scheme val="minor"/>
      </rPr>
      <t xml:space="preserve">             </t>
    </r>
    <r>
      <rPr>
        <u/>
        <sz val="11"/>
        <color theme="10"/>
        <rFont val="Aptos Narrow"/>
        <family val="2"/>
        <scheme val="minor"/>
      </rPr>
      <t>Consommation d'eau</t>
    </r>
  </si>
  <si>
    <t>· B7 - Utilisation des ressources, économie circulaire et gestion des déchets</t>
  </si>
  <si>
    <r>
      <rPr>
        <sz val="11"/>
        <color theme="10"/>
        <rFont val="Aptos Narrow"/>
        <family val="2"/>
        <scheme val="minor"/>
      </rPr>
      <t xml:space="preserve">               </t>
    </r>
    <r>
      <rPr>
        <u/>
        <sz val="11"/>
        <color theme="10"/>
        <rFont val="Aptos Narrow"/>
        <family val="2"/>
        <scheme val="minor"/>
      </rPr>
      <t>Description des principes de l'économie circulaire</t>
    </r>
  </si>
  <si>
    <r>
      <rPr>
        <sz val="11"/>
        <color theme="10"/>
        <rFont val="Aptos Narrow"/>
        <family val="2"/>
        <scheme val="minor"/>
      </rPr>
      <t xml:space="preserve">               </t>
    </r>
    <r>
      <rPr>
        <u/>
        <sz val="11"/>
        <color theme="10"/>
        <rFont val="Aptos Narrow"/>
        <family val="2"/>
        <scheme val="minor"/>
      </rPr>
      <t>Déchets produits</t>
    </r>
  </si>
  <si>
    <r>
      <rPr>
        <sz val="11"/>
        <color theme="10"/>
        <rFont val="Aptos Narrow"/>
        <family val="2"/>
        <scheme val="minor"/>
      </rPr>
      <t xml:space="preserve">               </t>
    </r>
    <r>
      <rPr>
        <u/>
        <sz val="11"/>
        <color theme="10"/>
        <rFont val="Aptos Narrow"/>
        <family val="2"/>
        <scheme val="minor"/>
      </rPr>
      <t>Flux massique annuel des matières pertinentes utilisées</t>
    </r>
  </si>
  <si>
    <t>Informations sociales</t>
  </si>
  <si>
    <t>· B8 - Effectifs - caractéristiques générales</t>
  </si>
  <si>
    <r>
      <rPr>
        <sz val="11"/>
        <color theme="10"/>
        <rFont val="Aptos Narrow"/>
        <family val="2"/>
        <scheme val="minor"/>
      </rPr>
      <t xml:space="preserve">              </t>
    </r>
    <r>
      <rPr>
        <u/>
        <sz val="11"/>
        <color theme="10"/>
        <rFont val="Aptos Narrow"/>
        <family val="2"/>
        <scheme val="minor"/>
      </rPr>
      <t>Type de contrat</t>
    </r>
  </si>
  <si>
    <r>
      <rPr>
        <sz val="11"/>
        <color theme="10"/>
        <rFont val="Aptos Narrow"/>
        <family val="2"/>
        <scheme val="minor"/>
      </rPr>
      <t xml:space="preserve">              </t>
    </r>
    <r>
      <rPr>
        <u/>
        <sz val="11"/>
        <color theme="10"/>
        <rFont val="Aptos Narrow"/>
        <family val="2"/>
        <scheme val="minor"/>
      </rPr>
      <t>Sexe</t>
    </r>
  </si>
  <si>
    <r>
      <rPr>
        <sz val="11"/>
        <color theme="10"/>
        <rFont val="Aptos Narrow"/>
        <family val="2"/>
        <scheme val="minor"/>
      </rPr>
      <t xml:space="preserve">              </t>
    </r>
    <r>
      <rPr>
        <u/>
        <sz val="11"/>
        <color theme="10"/>
        <rFont val="Aptos Narrow"/>
        <family val="2"/>
        <scheme val="minor"/>
      </rPr>
      <t>Taux de rotation</t>
    </r>
  </si>
  <si>
    <t>· B9 - Effectifs – santé et sécurité</t>
  </si>
  <si>
    <t>· B10 - Effectifs – rémunération, négociation collective et formation</t>
  </si>
  <si>
    <t>Informations de gouvernance</t>
  </si>
  <si>
    <t>· B11 - Condamnations et amendes pour corruption et actes de corruption</t>
  </si>
  <si>
    <t>· C1 - Stratégie : modèle économique et initiatives liées à la durabilité</t>
  </si>
  <si>
    <t>· C2 - Description des pratiques, des politiques et des initiatives futures pour une transition vers une économie plus durable</t>
  </si>
  <si>
    <t>· C3 - Cibles de réduction des émissions de GES et transition climatique</t>
  </si>
  <si>
    <t>· C4 - Risques climatiques</t>
  </si>
  <si>
    <t>· C5 - Caractéristiques supplémentaires (générales) des effectifs</t>
  </si>
  <si>
    <t>· C7 - Incidents graves en matière de droits de l’homme</t>
  </si>
  <si>
    <t>· C8 - Recettes de certains secteurs et exclusion des indices de référence de l'UE</t>
  </si>
  <si>
    <r>
      <rPr>
        <sz val="11"/>
        <color theme="10"/>
        <rFont val="Aptos Narrow"/>
        <family val="2"/>
        <scheme val="minor"/>
      </rPr>
      <t xml:space="preserve">              </t>
    </r>
    <r>
      <rPr>
        <u/>
        <sz val="11"/>
        <color theme="10"/>
        <rFont val="Aptos Narrow"/>
        <family val="2"/>
        <scheme val="minor"/>
      </rPr>
      <t>Recettes de certains secteurs</t>
    </r>
  </si>
  <si>
    <r>
      <rPr>
        <sz val="11"/>
        <color theme="10"/>
        <rFont val="Aptos Narrow"/>
        <family val="2"/>
        <scheme val="minor"/>
      </rPr>
      <t xml:space="preserve">              E</t>
    </r>
    <r>
      <rPr>
        <u/>
        <sz val="11"/>
        <color theme="10"/>
        <rFont val="Aptos Narrow"/>
        <family val="2"/>
        <scheme val="minor"/>
      </rPr>
      <t>xclusion des indices de référence de l'UE</t>
    </r>
  </si>
  <si>
    <t>· C9 - Ratio femmes/hommes au sein de l'organe de gouvernance</t>
  </si>
  <si>
    <t>Informations supplémentaires</t>
  </si>
  <si>
    <t>· Autres informations générales ou spécifiques à l'entité pour la période de référence</t>
  </si>
  <si>
    <t>· Autres informations environnementales ou informations environnementales spécifiques à l'entité</t>
  </si>
  <si>
    <t>· Autres informations sociales ou informations sociales spécifiques à l'entité</t>
  </si>
  <si>
    <t>· Autres informations de gouvernance ou informations de gouvernance spécifiques à l'entité</t>
  </si>
  <si>
    <t>Nom de l'entité déclarante</t>
  </si>
  <si>
    <t>Identifiant de l'entité déclarante (sélectionner et spécifier à droite)</t>
  </si>
  <si>
    <t>Devise des valeurs monétaires dans le rapport</t>
  </si>
  <si>
    <t>Année de début</t>
  </si>
  <si>
    <t>Mois de début</t>
  </si>
  <si>
    <t>Jour de début</t>
  </si>
  <si>
    <t>Année de fin</t>
  </si>
  <si>
    <t>Mois de fin</t>
  </si>
  <si>
    <t>Jour de fin</t>
  </si>
  <si>
    <r>
      <t>Date de début de la période de référence (</t>
    </r>
    <r>
      <rPr>
        <b/>
        <sz val="11"/>
        <color theme="1"/>
        <rFont val="Aptos Narrow"/>
        <scheme val="minor"/>
      </rPr>
      <t>jj</t>
    </r>
    <r>
      <rPr>
        <b/>
        <sz val="11"/>
        <color theme="1"/>
        <rFont val="Aptos Narrow"/>
        <family val="2"/>
        <scheme val="minor"/>
      </rPr>
      <t>/mm/aaaa</t>
    </r>
    <r>
      <rPr>
        <sz val="11"/>
        <color theme="1"/>
        <rFont val="Aptos Narrow"/>
        <family val="2"/>
        <scheme val="minor"/>
      </rPr>
      <t>)</t>
    </r>
  </si>
  <si>
    <t>Informations relatives à la période de référence précédente</t>
  </si>
  <si>
    <t>Base d'établissement (module de base uniquement ou module de base et module narratif)</t>
  </si>
  <si>
    <t>Liste des informations omises réputées constituer des informations classifiées ou sensibles</t>
  </si>
  <si>
    <t>Mode d'établissement (consolidé ou individuel)</t>
  </si>
  <si>
    <t>Forme juridique de l'entreprise</t>
  </si>
  <si>
    <t>Autre indication sur la forme juridique de l'entreprise</t>
  </si>
  <si>
    <t>Code(s) de la nomenclature NACE</t>
  </si>
  <si>
    <t>Nombre de salariés</t>
  </si>
  <si>
    <t>Méthode de comptabilisation des salariés (en fin de période de référence ou moyenne de la période de référence)</t>
  </si>
  <si>
    <t>Pays où sont exercées les principales activités et emplacement des actifs importants</t>
  </si>
  <si>
    <t>Nom</t>
  </si>
  <si>
    <t>Adresse enregistrée</t>
  </si>
  <si>
    <t>L'entreprise a-t-elle obtenu une certification ou un label en matière de durabilité ?</t>
  </si>
  <si>
    <t>Adresse</t>
  </si>
  <si>
    <t>Code postal</t>
  </si>
  <si>
    <t>Ville</t>
  </si>
  <si>
    <t>Pays</t>
  </si>
  <si>
    <t>Coordonnées GPS (géolocalisation)</t>
  </si>
  <si>
    <t>L'entreprise a-t-elle mis en place des pratiques et des politiques, ou prévu des initiatives futures spécifiques en faveur d'une transition vers une économie plus durable ?</t>
  </si>
  <si>
    <t>Changement climatique</t>
  </si>
  <si>
    <t>Ressources aquatiques et marines</t>
  </si>
  <si>
    <t>Biodiversité et écosystèmes</t>
  </si>
  <si>
    <t>Économie circulaire</t>
  </si>
  <si>
    <t>Effectifs de l’entreprise</t>
  </si>
  <si>
    <t>Travailleurs de la chaîne de valeur</t>
  </si>
  <si>
    <t>Communautés touchées</t>
  </si>
  <si>
    <t>Consommateurs et utilisateurs finals</t>
  </si>
  <si>
    <t>Conduite des affaires</t>
  </si>
  <si>
    <t>La pratique, politique ou initiative future de l'entreprise est accessible au public</t>
  </si>
  <si>
    <t xml:space="preserve">Participation effective à la gouvernance des travailleurs, utilisateurs et autres parties intéressées ou communautés </t>
  </si>
  <si>
    <t xml:space="preserve">Investissement financier dans le capital ou les actifs des entités de l’économie sociale mentionnées dans la recommandation du Conseil du 29 septembre 2023 (hors dons et contributions) </t>
  </si>
  <si>
    <t>Limites à la distribution de bénéfices en raison du caractère mutualiste ou de la nature de services d’intérêt économique général (SIEG) des activités</t>
  </si>
  <si>
    <t>Description d'une pratique, politique ou initiative future pour une transition vers une économie plus durable (si la pratique/politique/initiative future concerne des fournisseurs ou des clients, l'entreprise doit le mentionner)</t>
  </si>
  <si>
    <t>Description de la cible fixée pour la politique</t>
  </si>
  <si>
    <t xml:space="preserve">Description des grands groupes de produits ou services proposés </t>
  </si>
  <si>
    <t xml:space="preserve">Description des grands marchés sur lesquels l'entreprise opère (B2B, commerce de gros, commerce de détail, pays) </t>
  </si>
  <si>
    <t>Description des principales relations commerciales (principaux fournisseurs, clients, canaux de distribution et consommateurs)</t>
  </si>
  <si>
    <t>s.o.</t>
  </si>
  <si>
    <t>Référence du paragraphe</t>
  </si>
  <si>
    <t>Référence du paragraphe dans les orientations</t>
  </si>
  <si>
    <t>Validation VALEUR MANQUANTE/ERREUR/VALEUR NON CONFORME/URL NON VALIDE</t>
  </si>
  <si>
    <t>Consommation totale d'énergie</t>
  </si>
  <si>
    <t>L'entreprise a-t-elle obtenu les informations nécessaires pour effectuer cette ventilation ?</t>
  </si>
  <si>
    <t>Sources renouvelables</t>
  </si>
  <si>
    <t>Sources non renouvelables</t>
  </si>
  <si>
    <t>Total</t>
  </si>
  <si>
    <t>Électricité (d’après factures)</t>
  </si>
  <si>
    <t>Électricité autoproduite</t>
  </si>
  <si>
    <r>
      <rPr>
        <sz val="11"/>
        <rFont val="Aptos Narrow"/>
        <family val="2"/>
        <scheme val="minor"/>
      </rPr>
      <t>Combustibles (voir Convertisseur combustibles sur la feuille Combustibles</t>
    </r>
    <r>
      <rPr>
        <u/>
        <sz val="11"/>
        <color theme="10"/>
        <rFont val="Aptos Narrow"/>
        <family val="2"/>
        <scheme val="minor"/>
      </rPr>
      <t>)</t>
    </r>
  </si>
  <si>
    <t>Année (date)</t>
  </si>
  <si>
    <t>Période de référence actuelle</t>
  </si>
  <si>
    <t>Année de référence</t>
  </si>
  <si>
    <t>Année cible</t>
  </si>
  <si>
    <t>Réduction en pourcentage par rapport à l'année de référence</t>
  </si>
  <si>
    <t xml:space="preserve">1. Biens et services achetés </t>
  </si>
  <si>
    <t xml:space="preserve">2. Biens d'investissement </t>
  </si>
  <si>
    <t>8. Actifs loués en amont</t>
  </si>
  <si>
    <t>9. Acheminement en aval et distribution</t>
  </si>
  <si>
    <t>10. Transformation des produits vendus</t>
  </si>
  <si>
    <t>7. Déplacements domicile-travail des salariés</t>
  </si>
  <si>
    <t>11. Utilisation des produits vendus</t>
  </si>
  <si>
    <t>12. Traitement en fin de vie des produits vendus</t>
  </si>
  <si>
    <t>13. Actifs loués en aval</t>
  </si>
  <si>
    <t>15. Investissements</t>
  </si>
  <si>
    <t>5. Déchets produits lors de l'exploitation</t>
  </si>
  <si>
    <t>6. Voyages d'affaires</t>
  </si>
  <si>
    <t>4. Transport et distribution en amont</t>
  </si>
  <si>
    <t>3. Activités relevant des secteurs des combustibles et de l'énergie (non incluses dans les périmètres 1 et 2)</t>
  </si>
  <si>
    <t>L'entreprise opère-t-elle dans des secteurs à fort impact climatique ?</t>
  </si>
  <si>
    <t>Etat de mise en œuvre d'un plan de transition pour l'atténuation du changement climatique</t>
  </si>
  <si>
    <t>Année</t>
  </si>
  <si>
    <t>Mois</t>
  </si>
  <si>
    <t>Jour</t>
  </si>
  <si>
    <t>Cette information est-elle déjà accessible au public ?</t>
  </si>
  <si>
    <t>Veuillez indiquer l'adresse URL ou insérer l'hyperlien qui renvoie au document dans lequel cette information est publiée</t>
  </si>
  <si>
    <t>Veuillez sélectionner l'unité de mesure utilisée (kg ou tonne)</t>
  </si>
  <si>
    <t xml:space="preserve">Polluant </t>
  </si>
  <si>
    <t xml:space="preserve">Rejets dans l'air </t>
  </si>
  <si>
    <t>Rejets dans l'eau</t>
  </si>
  <si>
    <t>Rejets dans le sol</t>
  </si>
  <si>
    <t>L'entreprise exploite-t-elle des sites situés dans des zones sensibles sur le plan de la biodiversité ou à proximité de zones sensibles sur le plan de la biodiversité ?</t>
  </si>
  <si>
    <t>ID associée au site (sélectionnez l'ID de l'emplacement du site indiquée sous l'indicateur B1)</t>
  </si>
  <si>
    <t>Emplacement du site dans/à proximité d'une zone sensible sur le plan de la biodiversité - alimentation automatique depuis B1</t>
  </si>
  <si>
    <t>Veuillez sélectonner l'unité de mesure utilisée pour la superficie (hectares or m²) :</t>
  </si>
  <si>
    <t>Superficie (hectares ou m² selon unité sélectionnée ci-dessus)</t>
  </si>
  <si>
    <t>Site situé dans une zone sensible sur le plan de la biodiversité</t>
  </si>
  <si>
    <t>Site à proximité d'une zone sensible sur le plan de la biodiversité</t>
  </si>
  <si>
    <t>Type d'affectation des terres</t>
  </si>
  <si>
    <t>Surface totale imperméabilisée</t>
  </si>
  <si>
    <t>Surface totale respectueuse de la nature sur le site</t>
  </si>
  <si>
    <t>Surface totale respectueuse de la nature hors site</t>
  </si>
  <si>
    <t>Total des prélèvements d'eau sur l'ensemble des sites (mètres cubes, m³)</t>
  </si>
  <si>
    <t>Rejets d'eau des processus de production de l'entreprise (m³)</t>
  </si>
  <si>
    <t>Consommation totale d'eau (m³)</t>
  </si>
  <si>
    <t>L'entreprise applique les principes de l'économie circulaire</t>
  </si>
  <si>
    <t>Description de la façon dont ces principes sont appliqués</t>
  </si>
  <si>
    <t>Type de déchets</t>
  </si>
  <si>
    <t>Unité de mesure</t>
  </si>
  <si>
    <t>Déchets orientés vers le recyclage ou la réutilisation</t>
  </si>
  <si>
    <t>Déchets éliminés</t>
  </si>
  <si>
    <t>Total des déchets orientés vers le recyclage ou la réutilisation ou éliminés</t>
  </si>
  <si>
    <t>Total des déchets produits</t>
  </si>
  <si>
    <t>Total des déchets dangereux produits (en unités de masse)</t>
  </si>
  <si>
    <t>Total des déchets non dangereux produits (en unités de masse)</t>
  </si>
  <si>
    <t>Total des déchets produits (en unités de masse)</t>
  </si>
  <si>
    <t>Total des déchets dangereux produits (en unités de volume)</t>
  </si>
  <si>
    <t>Total des déchets non dangereux produits (en unités de volume)</t>
  </si>
  <si>
    <t>Total des déchets produits (en unités de volume)</t>
  </si>
  <si>
    <t>mètres cubes (m³)</t>
  </si>
  <si>
    <t>Nom de la matière essentielle</t>
  </si>
  <si>
    <t>Masse/Volume</t>
  </si>
  <si>
    <t>Flux massique annuel total des matières pertinentes utilisées (masse en kg)</t>
  </si>
  <si>
    <r>
      <t>Flux massique annuel total des matières pertinentes utilisées (volume en m</t>
    </r>
    <r>
      <rPr>
        <sz val="11"/>
        <color theme="1"/>
        <rFont val="Aptos Narrow"/>
        <family val="2"/>
      </rPr>
      <t>³</t>
    </r>
    <r>
      <rPr>
        <sz val="11"/>
        <color theme="1"/>
        <rFont val="Aptos Narrow"/>
        <family val="2"/>
        <scheme val="minor"/>
      </rPr>
      <t>)</t>
    </r>
  </si>
  <si>
    <t>L'entreprise a-t-elle identifié des aléas liés au changement climatique et des événements liés à la transition climatique qui entraînent pour elle des risques bruts ?</t>
  </si>
  <si>
    <t>Description des aléas liés au changement climatique et des événements liés à la transition climatique</t>
  </si>
  <si>
    <t>Type de contrat</t>
  </si>
  <si>
    <t>Sexe</t>
  </si>
  <si>
    <t>Masculin</t>
  </si>
  <si>
    <t>Féminin</t>
  </si>
  <si>
    <t>Autre</t>
  </si>
  <si>
    <t>Non déclaré</t>
  </si>
  <si>
    <r>
      <rPr>
        <sz val="11"/>
        <color theme="10"/>
        <rFont val="Aptos Narrow"/>
        <family val="2"/>
        <scheme val="minor"/>
      </rPr>
      <t xml:space="preserve">              </t>
    </r>
    <r>
      <rPr>
        <u/>
        <sz val="11"/>
        <color theme="10"/>
        <rFont val="Aptos Narrow"/>
        <family val="2"/>
        <scheme val="minor"/>
      </rPr>
      <t>Pays du contrat de travail</t>
    </r>
  </si>
  <si>
    <t>Pays du contrat de travail</t>
  </si>
  <si>
    <t>Nombre de salariés au début de la période de référence</t>
  </si>
  <si>
    <t>Nombre de salariés à la fin de la période de référence</t>
  </si>
  <si>
    <t>Taux de rotation des salariés [%] pendant la période de référence</t>
  </si>
  <si>
    <t>Nombre d’accidents du travail comptabilisables de la période de référence</t>
  </si>
  <si>
    <t>Nombre total annuel d’heures travaillées par tous les salariés pendant la période de référence</t>
  </si>
  <si>
    <t>Taux d’accidents du travail comptabilisables de la période de référence</t>
  </si>
  <si>
    <t>Nombre de décès dus à des accidents et maladies professionnels</t>
  </si>
  <si>
    <t>Nombre d'heures travaillées par un salarié à temps plein pendant la période de référence</t>
  </si>
  <si>
    <t>Ecart de rémunération en pourcentage entre salariés féminins et masculins [%] - Si pertinent</t>
  </si>
  <si>
    <t>Nombre de salariés couverts par une convention collective</t>
  </si>
  <si>
    <t>Pourcentage de salariés couverts par une convention collective  [%]</t>
  </si>
  <si>
    <t>Nombre annuel d'heures de formation par salarié pendant la période de référence</t>
  </si>
  <si>
    <t>Nombre annuel moyen d'heures de formation par salarié</t>
  </si>
  <si>
    <t>Nombre de salariés hommes au niveau de l’encadrement</t>
  </si>
  <si>
    <t>Nombre de salariés femmes au niveau de l’encadrement</t>
  </si>
  <si>
    <t>Ratio femmes/hommes au niveau de l'encadrement pour la période de référence</t>
  </si>
  <si>
    <t>Nombre total de travailleurs indépendants sans personnel travaillant exclusivement pour l'entreprise</t>
  </si>
  <si>
    <t>Nombre total de travailleurs temporaires fournis par des entreprises exerçant principalement des activités liées à l’emploi</t>
  </si>
  <si>
    <t xml:space="preserve">L'entreprise dispose-t-elle d'un code de conduite ou d'une politique en matière de droits de l’homme applicable à ses effectifs ? </t>
  </si>
  <si>
    <t>Si oui, cette politique couvre-t-elle les aspects suivants :</t>
  </si>
  <si>
    <t xml:space="preserve">le travail des enfants </t>
  </si>
  <si>
    <t xml:space="preserve">le travail forcé </t>
  </si>
  <si>
    <t xml:space="preserve">la discrimination </t>
  </si>
  <si>
    <t xml:space="preserve">la prévention des accidents </t>
  </si>
  <si>
    <t>autres ? (si oui, préciser)</t>
  </si>
  <si>
    <t>Autres aspects couverts par le code de conduite ou la politique en matière de droits de l'homme</t>
  </si>
  <si>
    <t xml:space="preserve">L'entreprise dispose-t-elle d'un mécanisme de traitement des plaintes destiné à ses effectifs ? </t>
  </si>
  <si>
    <t>Si oui, ces cas portent-ils sur :</t>
  </si>
  <si>
    <t xml:space="preserve">la traite des êtres humains </t>
  </si>
  <si>
    <t>L'entreprise a-t-elle connaissance de cas avérés impliquant des travailleurs de la chaîne de valeur, des communautés touchées, des consommateurs ou des utilisateurs finals ?</t>
  </si>
  <si>
    <t>L’entreprise a-t-elle recensé au sein de ses effectifs des cas avérés ?</t>
  </si>
  <si>
    <t>Autres droits de l'homme concernés par les cas avérés</t>
  </si>
  <si>
    <r>
      <t>Description des actions mises en œuvre pour remédier aux cas avérés</t>
    </r>
    <r>
      <rPr>
        <b/>
        <sz val="11"/>
        <color theme="1"/>
        <rFont val="Aptos Narrow"/>
        <family val="2"/>
        <scheme val="minor"/>
      </rPr>
      <t xml:space="preserve"> - Facultatif</t>
    </r>
  </si>
  <si>
    <t>Précisions sur les cas avérés impliquant des travailleurs de la chaîne de valeur, des communautés touchées, des consommateurs ou des utilisateurs finals</t>
  </si>
  <si>
    <t>L'entreprise a-t-elle fait l'objet de condamnations et d'amendes au cours de la période de référence ?</t>
  </si>
  <si>
    <t>Nombre total de condamnations et d'amendes pour infraction à la législation sur la lutte contre la corruption et les actes de corruption</t>
  </si>
  <si>
    <t>L'entreprise tire-t-elle des recettes des activités énumérées ci-dessous ?</t>
  </si>
  <si>
    <t>Recettes tirées d'activités liées à des armes controversées (mines anti-personnel, armes à sous-munitions, armes chimiques et armes biologiques)</t>
  </si>
  <si>
    <t>Recettes tirées de la culture et de la production de tabac</t>
  </si>
  <si>
    <t>Recettes tirées du charbon</t>
  </si>
  <si>
    <t>Recettes tirées du pétrole</t>
  </si>
  <si>
    <t>Recettes tirées du gaz</t>
  </si>
  <si>
    <t>Recettes totales tirées du secteur des combustibles fossiles (charbon, pétrole, gaz), c'est-à-dire les recettes tirées de la prospection, de l'exploitation minière, de l'extraction, de la production, de la transformation, du stockage, du raffinage ou de la distribution, y compris le transport, l’entreposage et le commerce, de combustibles fossiles au sens de l'article 2, point 62), du règlement (UE) 2018/1999 du Parlement européen et du Conseil</t>
  </si>
  <si>
    <t>Recettes tirées de la production de produits chimiques</t>
  </si>
  <si>
    <t>au moins 1 % de leur chiffre d’affaires de la prospection, de l'extraction, de la distribution ou du raffinage de houille et de lignite</t>
  </si>
  <si>
    <t>au moins 10 % de leur chiffre d’affaires de la prospection, de l'extraction, de la distribution ou du raffinage de combustibles liquides</t>
  </si>
  <si>
    <t>au moins 50 % de leur chiffre d’affaires de la prospection, de l'extraction, de la fabrication ou de la distribution de combustibles gazeux</t>
  </si>
  <si>
    <t>au moins 50 % de leur chiffre d’affaires d’activités de production d'électricité présentant une intensité d’émission de GES supérieure à 100 g CO2 e/kWh</t>
  </si>
  <si>
    <t>Aucun des critères ci-dessus</t>
  </si>
  <si>
    <t>L'entreprise est exclue de l'un des indices de référence « accord de Paris » de l'Union</t>
  </si>
  <si>
    <t>L'entreprise dispose-t-elle d'un organe de gouvernance ?</t>
  </si>
  <si>
    <t>Nombre de femmes membres du conseil d'administration à la fin de la période de référence</t>
  </si>
  <si>
    <t>Nombre d'hommes membres du conseil d'administration à la fin de la période de référence</t>
  </si>
  <si>
    <t>Ratio femmes/hommes au sein de l'organe de gouvernance</t>
  </si>
  <si>
    <t>CONVERTISSEUR COMBUSTIBLES</t>
  </si>
  <si>
    <t>Si l'entreprise souhaite faire plusieurs conversions, elle doit cliquer sur le bouton [+] en haut.</t>
  </si>
  <si>
    <t xml:space="preserve">Quel est votre combustible ? </t>
  </si>
  <si>
    <t>État</t>
  </si>
  <si>
    <r>
      <rPr>
        <b/>
        <sz val="11"/>
        <color theme="1"/>
        <rFont val="Calibri"/>
        <family val="2"/>
      </rPr>
      <t>É</t>
    </r>
    <r>
      <rPr>
        <b/>
        <sz val="11"/>
        <color theme="1"/>
        <rFont val="Aptos Narrow"/>
        <family val="2"/>
        <scheme val="minor"/>
      </rPr>
      <t>nergie [MWh]</t>
    </r>
  </si>
  <si>
    <t>Utilisation du convertisseur combustibles :</t>
  </si>
  <si>
    <t>Quantité</t>
  </si>
  <si>
    <t>Indications supplémentaires :</t>
  </si>
  <si>
    <t>Total énergie renouvelable [MWh]</t>
  </si>
  <si>
    <t>Total énergie non renouvelable [MWh]</t>
  </si>
  <si>
    <r>
      <rPr>
        <b/>
        <sz val="11"/>
        <color theme="1"/>
        <rFont val="Calibri"/>
        <family val="2"/>
      </rPr>
      <t>É</t>
    </r>
    <r>
      <rPr>
        <b/>
        <sz val="11"/>
        <color theme="1"/>
        <rFont val="Aptos Narrow"/>
        <family val="2"/>
      </rPr>
      <t>nergie totale</t>
    </r>
    <r>
      <rPr>
        <b/>
        <sz val="11"/>
        <color theme="1"/>
        <rFont val="Aptos Narrow"/>
        <family val="2"/>
        <scheme val="minor"/>
      </rPr>
      <t xml:space="preserve"> [MWh]</t>
    </r>
  </si>
  <si>
    <t>Combustibles</t>
  </si>
  <si>
    <r>
      <t>Densité type [kg/l</t>
    </r>
    <r>
      <rPr>
        <b/>
        <sz val="11"/>
        <color theme="1"/>
        <rFont val="Aptos Narrow"/>
        <family val="2"/>
      </rPr>
      <t>]</t>
    </r>
  </si>
  <si>
    <r>
      <t>Densité type [kg/m</t>
    </r>
    <r>
      <rPr>
        <b/>
        <sz val="11"/>
        <color theme="1"/>
        <rFont val="Aptos Narrow"/>
        <family val="2"/>
      </rPr>
      <t>³]</t>
    </r>
  </si>
  <si>
    <t>Statut renouvelable type</t>
  </si>
  <si>
    <t>Solide</t>
  </si>
  <si>
    <t>Liquide</t>
  </si>
  <si>
    <t>Gazeux</t>
  </si>
  <si>
    <t>Non renouvelable</t>
  </si>
  <si>
    <t>Renouvelable</t>
  </si>
  <si>
    <t>Autre 1</t>
  </si>
  <si>
    <t>Autre 2</t>
  </si>
  <si>
    <t>Autre 3</t>
  </si>
  <si>
    <t>Autre 4</t>
  </si>
  <si>
    <t>Autre 5</t>
  </si>
  <si>
    <t>Autre 6</t>
  </si>
  <si>
    <t>Autre 7</t>
  </si>
  <si>
    <t>Autre 8</t>
  </si>
  <si>
    <t>Autre 9</t>
  </si>
  <si>
    <t>Autre 10</t>
  </si>
  <si>
    <t>Essence aviation</t>
  </si>
  <si>
    <t>Bioessence</t>
  </si>
  <si>
    <t>Bitume</t>
  </si>
  <si>
    <t>Gaz de haut-fourneau</t>
  </si>
  <si>
    <t>Briquettes de lignite</t>
  </si>
  <si>
    <t>Butane et isomères</t>
  </si>
  <si>
    <t>Coke de cokerie  &amp; coke de lignite</t>
  </si>
  <si>
    <t>Gaz de cokerie</t>
  </si>
  <si>
    <t>Charbon à coke</t>
  </si>
  <si>
    <t>Pétrole brut et distillats</t>
  </si>
  <si>
    <r>
      <rPr>
        <sz val="11"/>
        <color theme="1"/>
        <rFont val="Calibri"/>
        <family val="2"/>
      </rPr>
      <t>É</t>
    </r>
    <r>
      <rPr>
        <sz val="11"/>
        <color theme="1"/>
        <rFont val="Aptos Narrow"/>
        <family val="2"/>
        <scheme val="minor"/>
      </rPr>
      <t>thane</t>
    </r>
  </si>
  <si>
    <t>Coke de gaz</t>
  </si>
  <si>
    <t>Gazole</t>
  </si>
  <si>
    <t>Carburéacteur large coupe</t>
  </si>
  <si>
    <t>Kérosène (Jet A1 ou A)</t>
  </si>
  <si>
    <t>Gaz de décharge</t>
  </si>
  <si>
    <t>Lubrifiants</t>
  </si>
  <si>
    <t>Méthane</t>
  </si>
  <si>
    <t>Essence automobile/essence</t>
  </si>
  <si>
    <t>Déchets municipaux (fraction issue de la biomasse)</t>
  </si>
  <si>
    <t>Déchets municipaux (fraction non issue de la biomasse)</t>
  </si>
  <si>
    <t>Naphta</t>
  </si>
  <si>
    <t>Gaz naturel</t>
  </si>
  <si>
    <t>Liquides de gaz naturel (LGN)</t>
  </si>
  <si>
    <t>Schiste bitumineux et sables bitumineux</t>
  </si>
  <si>
    <t>Gaz de convertisseur à l'oxygène</t>
  </si>
  <si>
    <t>Paraffines</t>
  </si>
  <si>
    <t xml:space="preserve">Aggloméré </t>
  </si>
  <si>
    <t>Tourbe</t>
  </si>
  <si>
    <t>Coke de pétrole</t>
  </si>
  <si>
    <t>Charges de raffinage du pétrole</t>
  </si>
  <si>
    <t>Gaz de raffinerie</t>
  </si>
  <si>
    <t>Gaz de pétrole liquéfié (GPL)</t>
  </si>
  <si>
    <t>Fioul résiduel</t>
  </si>
  <si>
    <t>Huile de schiste (liquide)</t>
  </si>
  <si>
    <t>Gaz de digestion des boues</t>
  </si>
  <si>
    <t>Charbon sous-bitumineux</t>
  </si>
  <si>
    <t>Lessives de sulfite (liqueur noire)</t>
  </si>
  <si>
    <t>Térébenthine</t>
  </si>
  <si>
    <t>Huiles végétales</t>
  </si>
  <si>
    <t>Huiles usagées</t>
  </si>
  <si>
    <t>Biogaz issu du traitement des eaux usées</t>
  </si>
  <si>
    <t>White spirit et essences spéciales</t>
  </si>
  <si>
    <t>Bois/déchets de bois</t>
  </si>
  <si>
    <t>- b. Densité type du bitume,</t>
  </si>
  <si>
    <t>- c. Densité type du gaz de haut-fourneau,</t>
  </si>
  <si>
    <r>
      <t>https://engineeringtoolbox.com/gas-density-d_158.html</t>
    </r>
    <r>
      <rPr>
        <u/>
        <sz val="11"/>
        <rFont val="Aptos Narrow"/>
        <family val="2"/>
        <scheme val="minor"/>
      </rPr>
      <t>;</t>
    </r>
  </si>
  <si>
    <r>
      <t>https://www.engineeringtoolbox.com/gasoline-density-specific-heat-dynamic-kinematic-viscosity-thermal-conductivity-vs-temperature-d_2224.html</t>
    </r>
    <r>
      <rPr>
        <sz val="11"/>
        <rFont val="Aptos Narrow"/>
        <family val="2"/>
        <scheme val="minor"/>
      </rPr>
      <t>;</t>
    </r>
  </si>
  <si>
    <r>
      <t>https://atdmco.com/wiki-density-of-bitumen/</t>
    </r>
    <r>
      <rPr>
        <sz val="11"/>
        <rFont val="Aptos Narrow"/>
        <family val="2"/>
        <scheme val="minor"/>
      </rPr>
      <t>;</t>
    </r>
  </si>
  <si>
    <t>- d. Densité type du butane et des isomères,</t>
  </si>
  <si>
    <r>
      <t>https://www.energuide.be/en/questions-answers/what-is-the-calorific-value-of-gas/9655/</t>
    </r>
    <r>
      <rPr>
        <sz val="11"/>
        <rFont val="Aptos Narrow"/>
        <family val="2"/>
        <scheme val="minor"/>
      </rPr>
      <t>;</t>
    </r>
  </si>
  <si>
    <t>- e. Densité type du gaz de cokerie,</t>
  </si>
  <si>
    <r>
      <t>http://cyyenergy.com/en/Products/info_itemid_138.html</t>
    </r>
    <r>
      <rPr>
        <sz val="11"/>
        <rFont val="Aptos Narrow"/>
        <family val="2"/>
        <scheme val="minor"/>
      </rPr>
      <t>;</t>
    </r>
  </si>
  <si>
    <r>
      <t>https://op.europa.eu/en/publication-detail/-/publication/eaa047e8-644c-4149-bdcb-9dde79c64a12</t>
    </r>
    <r>
      <rPr>
        <sz val="11"/>
        <rFont val="Aptos Narrow"/>
        <family val="2"/>
        <scheme val="minor"/>
      </rPr>
      <t>;</t>
    </r>
  </si>
  <si>
    <t>- f. Densité type du coke de gaz,</t>
  </si>
  <si>
    <t>- g. Densité du carburéacteur large coupe,</t>
  </si>
  <si>
    <t>https://www.engineeringtoolbox.com/fuels-densities-specific-volumes-d_166.html;</t>
  </si>
  <si>
    <t>- h. PCI type du méthane,</t>
  </si>
  <si>
    <t>https://eur-lex.europa.eu/eli/reg_impl/2018/2066/oj/eng#:~:text=Commission%20Implementing%20Regulation%20(EU)%202018,(Text%20with%20EEA%20relevance.);</t>
  </si>
  <si>
    <t>- i. Densité type du schiste bitumineux et des sables bitumineux;</t>
  </si>
  <si>
    <t>https://osf.io/s2qbt;</t>
  </si>
  <si>
    <t>https://archive.epa.gov/emergencies/content/fss/web/pdf/orimuls.pdf;</t>
  </si>
  <si>
    <t>- k. PCI type du gaz de convertisseur à l'oxygène,</t>
  </si>
  <si>
    <t>https://op.europa.eu/en/publication-detail/-/publication/eaa047e8-644c-4149-bdcb-9dde79c64a12;</t>
  </si>
  <si>
    <t>- l. Densité type du propane,</t>
  </si>
  <si>
    <t>https://www.engineeringtoolbox.com/propane-C3H8-density-specific-weight-temperature-pressure-d_2033.html?vA=15&amp;degree;</t>
  </si>
  <si>
    <t>- m. Densité type des charges de raffinage du pétrole,</t>
  </si>
  <si>
    <t>https://eippcb.jrc.ec.europa.eu/sites/default/files/2020-03/superseded_ref_bref-0203.pdf;</t>
  </si>
  <si>
    <t>http://www.ipcc-nggip.iges.or.jp/efdb/find_ef_ft.php;</t>
  </si>
  <si>
    <t>- o. Densité type des lessives de sulfite (liqueur noire),</t>
  </si>
  <si>
    <t>https://captainslog.gr/wp-content/uploads/2020/12/Sulphite-Lye-Cafn.pdf;</t>
  </si>
  <si>
    <t>- p. PCI type de la térébenthine,</t>
  </si>
  <si>
    <t>https://iopscience.iop.org/article/10.1088/1757-899X/912/4/042075;</t>
  </si>
  <si>
    <t>- q. PCI type des huiles végétales,</t>
  </si>
  <si>
    <t>https://www.engineeringtoolbox.com/fuels-higher-calorific-values-d_169.html;</t>
  </si>
  <si>
    <t>- r. Densité type des huiles usagées,</t>
  </si>
  <si>
    <t>https://ehs.cranesville.com/msds.pdfs/MSDS(U003).pdf;</t>
  </si>
  <si>
    <t>- s. PCI type du biogaz issu du traitement des eaux usées,</t>
  </si>
  <si>
    <t>https://www.mdpi.com/2673-5628/5/1/6;</t>
  </si>
  <si>
    <t>- t. Densité type du white spirit et des essences spéciales,</t>
  </si>
  <si>
    <t>https://www.shell.com/business-customers/chemicals/our-products/solvents-hydrocarbon/special-boiling-point-solvents/sbp-140-165.html.</t>
  </si>
  <si>
    <t>Convertisseur des unités de mesure de masse</t>
  </si>
  <si>
    <t>De</t>
  </si>
  <si>
    <t>en</t>
  </si>
  <si>
    <t>Convertisseur des unités de mesure de volume</t>
  </si>
  <si>
    <t>Unité de mesure de la consommation horaire d'énergie</t>
  </si>
  <si>
    <t>Convertisseur des unités de mesure de la densité</t>
  </si>
  <si>
    <t>Convertisseur des unités de mesure du PCI</t>
  </si>
  <si>
    <t>Licence MIT</t>
  </si>
  <si>
    <t>dans toutes les copies ou parties substantielles du Logiciel.</t>
  </si>
  <si>
    <t>société à responsabilité limitée ne faisant pas appel public à l'épargne</t>
  </si>
  <si>
    <t>entreprise individuelle</t>
  </si>
  <si>
    <t>société de personnes</t>
  </si>
  <si>
    <t>coopérative</t>
  </si>
  <si>
    <t>autre (merci de préciser la forme juridique sur la ligne ci-dessous)</t>
  </si>
  <si>
    <t>Liste des pays</t>
  </si>
  <si>
    <t>Andorre</t>
  </si>
  <si>
    <r>
      <rPr>
        <sz val="11"/>
        <color theme="1"/>
        <rFont val="Calibri"/>
        <family val="2"/>
      </rPr>
      <t>É</t>
    </r>
    <r>
      <rPr>
        <sz val="11"/>
        <color theme="1"/>
        <rFont val="Aptos Narrow"/>
        <family val="2"/>
        <scheme val="minor"/>
      </rPr>
      <t>mirats arabes unis</t>
    </r>
  </si>
  <si>
    <t>Antigua-et-Barbuda</t>
  </si>
  <si>
    <t>Albanie</t>
  </si>
  <si>
    <t>Arménie</t>
  </si>
  <si>
    <t>Antarctique</t>
  </si>
  <si>
    <t>Argentine</t>
  </si>
  <si>
    <t>Samoa américaines</t>
  </si>
  <si>
    <t>Autriche</t>
  </si>
  <si>
    <t>Australie</t>
  </si>
  <si>
    <t>Îles Åland</t>
  </si>
  <si>
    <t>Azerbaïdjan</t>
  </si>
  <si>
    <t>Bosnie-Herzégovine</t>
  </si>
  <si>
    <t>Barbade</t>
  </si>
  <si>
    <t>Belgique</t>
  </si>
  <si>
    <t>Bulgarie</t>
  </si>
  <si>
    <t>Bahreïn</t>
  </si>
  <si>
    <t>Bénin</t>
  </si>
  <si>
    <t>Saint-Barthélemy</t>
  </si>
  <si>
    <t>Bermudes</t>
  </si>
  <si>
    <t>Brunéi Darussalam</t>
  </si>
  <si>
    <t>Bolivie (État plurinational de)</t>
  </si>
  <si>
    <t>Bonaire, Saint-Eustache et Saba</t>
  </si>
  <si>
    <t>Brésil</t>
  </si>
  <si>
    <t>Bhoutan</t>
  </si>
  <si>
    <t>Île Bouvet</t>
  </si>
  <si>
    <t>Biélorussie</t>
  </si>
  <si>
    <t>Îles Cocos (Keeling)</t>
  </si>
  <si>
    <t>Congo (République démocratique du)</t>
  </si>
  <si>
    <t>République centrafricaine</t>
  </si>
  <si>
    <t>Suisse</t>
  </si>
  <si>
    <t>Îles Cook</t>
  </si>
  <si>
    <t>Chili</t>
  </si>
  <si>
    <t>Cameroun</t>
  </si>
  <si>
    <t>Chine</t>
  </si>
  <si>
    <t>Colombie</t>
  </si>
  <si>
    <t>Cap-Vert</t>
  </si>
  <si>
    <t>Île Christmas</t>
  </si>
  <si>
    <t>Chypre</t>
  </si>
  <si>
    <t>Tchéquie</t>
  </si>
  <si>
    <t>Allemagne</t>
  </si>
  <si>
    <t>Danemark</t>
  </si>
  <si>
    <t>Dominique</t>
  </si>
  <si>
    <t>République Dominicaine</t>
  </si>
  <si>
    <t>Algérie</t>
  </si>
  <si>
    <t>Estonie</t>
  </si>
  <si>
    <r>
      <rPr>
        <sz val="11"/>
        <color theme="1"/>
        <rFont val="Calibri"/>
        <family val="2"/>
      </rPr>
      <t>É</t>
    </r>
    <r>
      <rPr>
        <sz val="11"/>
        <color theme="1"/>
        <rFont val="Aptos Narrow"/>
        <family val="2"/>
        <scheme val="minor"/>
      </rPr>
      <t>gypte</t>
    </r>
  </si>
  <si>
    <t>Sahara occidental*</t>
  </si>
  <si>
    <r>
      <rPr>
        <sz val="11"/>
        <color theme="1"/>
        <rFont val="Calibri"/>
        <family val="2"/>
      </rPr>
      <t>É</t>
    </r>
    <r>
      <rPr>
        <sz val="11"/>
        <color theme="1"/>
        <rFont val="Aptos Narrow"/>
        <family val="2"/>
        <scheme val="minor"/>
      </rPr>
      <t>rythrée</t>
    </r>
  </si>
  <si>
    <t>Espagne</t>
  </si>
  <si>
    <r>
      <rPr>
        <sz val="11"/>
        <color theme="1"/>
        <rFont val="Calibri"/>
        <family val="2"/>
      </rPr>
      <t>É</t>
    </r>
    <r>
      <rPr>
        <sz val="11"/>
        <color theme="1"/>
        <rFont val="Aptos Narrow"/>
        <family val="2"/>
        <scheme val="minor"/>
      </rPr>
      <t>thiopie</t>
    </r>
  </si>
  <si>
    <t>Finlande</t>
  </si>
  <si>
    <t>Fidji</t>
  </si>
  <si>
    <t>Îles Malouines</t>
  </si>
  <si>
    <r>
      <t>Micronésie (</t>
    </r>
    <r>
      <rPr>
        <sz val="11"/>
        <color theme="1"/>
        <rFont val="Aptos Display"/>
      </rPr>
      <t>États Fédérés de</t>
    </r>
    <r>
      <rPr>
        <sz val="11"/>
        <color theme="1"/>
        <rFont val="Aptos Narrow"/>
        <family val="2"/>
        <scheme val="minor"/>
      </rPr>
      <t>)</t>
    </r>
  </si>
  <si>
    <t>Équateur</t>
  </si>
  <si>
    <t>Îles Féroé</t>
  </si>
  <si>
    <t>Royaume-Uni de Grande-Bretagne et d'Irlande du Nord</t>
  </si>
  <si>
    <t>Grenade</t>
  </si>
  <si>
    <t>Géorgie</t>
  </si>
  <si>
    <t>Guyane française</t>
  </si>
  <si>
    <t>Guernesey</t>
  </si>
  <si>
    <t>Groenland</t>
  </si>
  <si>
    <t>Gambie</t>
  </si>
  <si>
    <t>Guinée</t>
  </si>
  <si>
    <t>Guinée équatoriale</t>
  </si>
  <si>
    <t>Grèce</t>
  </si>
  <si>
    <t>Géorgie du Sud et Iles Sandwich du Sud</t>
  </si>
  <si>
    <t>Guinée-Bissau</t>
  </si>
  <si>
    <t>Guyane</t>
  </si>
  <si>
    <t>îles Heard et McDonald</t>
  </si>
  <si>
    <t>Croatie</t>
  </si>
  <si>
    <t>Haïti</t>
  </si>
  <si>
    <t>Hongrie</t>
  </si>
  <si>
    <t>Indonésie</t>
  </si>
  <si>
    <t>Irlande</t>
  </si>
  <si>
    <t>Israël</t>
  </si>
  <si>
    <t>Île de Man</t>
  </si>
  <si>
    <t>Inde</t>
  </si>
  <si>
    <t>Territoire britannique de l'océan Indien</t>
  </si>
  <si>
    <t>Irak</t>
  </si>
  <si>
    <t>Iran (République islamique d')</t>
  </si>
  <si>
    <t>Islande</t>
  </si>
  <si>
    <t>Italie</t>
  </si>
  <si>
    <t>Jamaïque</t>
  </si>
  <si>
    <t>Jordanie</t>
  </si>
  <si>
    <t>Japon</t>
  </si>
  <si>
    <t>Kirghizistan</t>
  </si>
  <si>
    <t>Cambodge</t>
  </si>
  <si>
    <t>Comores</t>
  </si>
  <si>
    <t>Saint-Christophe-et-Niévès</t>
  </si>
  <si>
    <t>Corée (République populaire démocratique de)</t>
  </si>
  <si>
    <t>Corée (Réublique de)</t>
  </si>
  <si>
    <t>Koweït</t>
  </si>
  <si>
    <t>Îles Caïmans</t>
  </si>
  <si>
    <t>République démocratique populaire lao</t>
  </si>
  <si>
    <t>Liban</t>
  </si>
  <si>
    <t>Sainte-Lucie</t>
  </si>
  <si>
    <t>Libéria</t>
  </si>
  <si>
    <t>Lituanie</t>
  </si>
  <si>
    <t>Lettonie</t>
  </si>
  <si>
    <t>Libye</t>
  </si>
  <si>
    <t>Maroc</t>
  </si>
  <si>
    <t>Monténégro</t>
  </si>
  <si>
    <t>Saint-Martin (partie française)</t>
  </si>
  <si>
    <t>Îles Marshall</t>
  </si>
  <si>
    <t>Macédoine du Nord</t>
  </si>
  <si>
    <t>Mongolie</t>
  </si>
  <si>
    <t>Îles Mariannes du Nord</t>
  </si>
  <si>
    <t>Mauritanie</t>
  </si>
  <si>
    <t>Malte</t>
  </si>
  <si>
    <t>Maurice</t>
  </si>
  <si>
    <t>Mexique</t>
  </si>
  <si>
    <t>Malaysie</t>
  </si>
  <si>
    <t>Namibie</t>
  </si>
  <si>
    <t>Nouvelle-Calédonie</t>
  </si>
  <si>
    <t>Île Norfolk</t>
  </si>
  <si>
    <t>Pays-Bas (Royaume des)</t>
  </si>
  <si>
    <t>Norvège</t>
  </si>
  <si>
    <t>Népal</t>
  </si>
  <si>
    <t>Niué</t>
  </si>
  <si>
    <t>Nouvelle-Zélande</t>
  </si>
  <si>
    <t>Pérou</t>
  </si>
  <si>
    <t>Polynésie française</t>
  </si>
  <si>
    <t>Papouasie-Nouvelle-Guinée</t>
  </si>
  <si>
    <t>Pologne</t>
  </si>
  <si>
    <t>Saint-Pierre-et-Miquelon</t>
  </si>
  <si>
    <t>Porto Rico</t>
  </si>
  <si>
    <t>Palestine, État de</t>
  </si>
  <si>
    <t>Palaos</t>
  </si>
  <si>
    <t>Roumanie</t>
  </si>
  <si>
    <t>Serbie</t>
  </si>
  <si>
    <t>Fédération de Russie</t>
  </si>
  <si>
    <t>Arabie saoudite</t>
  </si>
  <si>
    <t>Îles Salomon</t>
  </si>
  <si>
    <t>Soudan</t>
  </si>
  <si>
    <t>Suède</t>
  </si>
  <si>
    <t>Singapour</t>
  </si>
  <si>
    <t>Sainte-Hélène, Ascension et Tristan da Cunha</t>
  </si>
  <si>
    <t>Slovénie</t>
  </si>
  <si>
    <t>Svalbard et Jan Mayen</t>
  </si>
  <si>
    <t>Slovaquie</t>
  </si>
  <si>
    <t>Saint-Marin</t>
  </si>
  <si>
    <t>Sénégal</t>
  </si>
  <si>
    <t>Somalie</t>
  </si>
  <si>
    <t>Soudan du Sud</t>
  </si>
  <si>
    <t>Sao Tomé-et-Principe</t>
  </si>
  <si>
    <t>Saint-Martin (partie hollandaise)</t>
  </si>
  <si>
    <t>République arabe syrienne</t>
  </si>
  <si>
    <t>îles Turks et Caïques</t>
  </si>
  <si>
    <t>Tchad</t>
  </si>
  <si>
    <t>Thaïlande</t>
  </si>
  <si>
    <t>Terres australes et antarctiques françaises</t>
  </si>
  <si>
    <t>Tadjikistan</t>
  </si>
  <si>
    <t>Turkménistan</t>
  </si>
  <si>
    <t>Tunisie</t>
  </si>
  <si>
    <t>Turquie</t>
  </si>
  <si>
    <t>Trinité-et-Tobago</t>
  </si>
  <si>
    <t>Taïwan (Province de Chine)</t>
  </si>
  <si>
    <t>Ouganda</t>
  </si>
  <si>
    <t>Îles mineures éloignées des États-Unis</t>
  </si>
  <si>
    <t>États-Unis d'Amérique</t>
  </si>
  <si>
    <t>Ouzbékistan</t>
  </si>
  <si>
    <t>Saint-Siège</t>
  </si>
  <si>
    <t>Saint-Vincent et les Grenadines</t>
  </si>
  <si>
    <t>Venezuela (République bolivarienne du)</t>
  </si>
  <si>
    <t>Îles Vierges (britanniques)</t>
  </si>
  <si>
    <t>Îles Vierges (des États-Unis)</t>
  </si>
  <si>
    <t>Vietnam</t>
  </si>
  <si>
    <t>Wallis et Futuna</t>
  </si>
  <si>
    <t>Yougoslavie (avant le 23/07/2003)</t>
  </si>
  <si>
    <t>Afrique du Sud</t>
  </si>
  <si>
    <t>Zambie</t>
  </si>
  <si>
    <t>Zaîre (avant le 14/07/1997)</t>
  </si>
  <si>
    <t>Antilles néerlandaises (avant le 15/12/2010)</t>
  </si>
  <si>
    <t>Birmanie (avant le 15/12/1989)</t>
  </si>
  <si>
    <t>Serbie-et-Monténégro (avant le 26/09/2006)</t>
  </si>
  <si>
    <t>Zone Neutre (avant le 12/07/1993)</t>
  </si>
  <si>
    <t>Timor oriental (avant le 20/05/2002)</t>
  </si>
  <si>
    <t>AxePays</t>
  </si>
  <si>
    <t>Axe</t>
  </si>
  <si>
    <t>B1 – Base d’établissement</t>
  </si>
  <si>
    <t>B2 – Pratiques, politiques et initiatives futures pour une transition vers une économie plus durable</t>
  </si>
  <si>
    <t>B3 – Énergie et émissions de gaz à effet de serre</t>
  </si>
  <si>
    <t>B4 – Pollution de l’air, de l’eau et des sols</t>
  </si>
  <si>
    <t>B5 – Biodiversité</t>
  </si>
  <si>
    <t>B6 – Eau</t>
  </si>
  <si>
    <t>B7 – Utilisation des ressources, économie circulaire et gestion des déchets</t>
  </si>
  <si>
    <t>B8 – Effectifs : caractéristiques générales</t>
  </si>
  <si>
    <t>B9 – Effectifs : santé et sécurité</t>
  </si>
  <si>
    <t>B10 – Effectifs : rémunération, négociation collective et formation</t>
  </si>
  <si>
    <t>B11 – Condamnations et amendes en matière de lutte contre la corruption et les actes de corruption</t>
  </si>
  <si>
    <t>C1 – Stratégie : modèle économique et initiatives liées à la durabilité</t>
  </si>
  <si>
    <t>C2 – Description des pratiques, des politiques et des initiatives futures pour une transition vers une économie plus durable</t>
  </si>
  <si>
    <t>C3 – Cibles de réduction des émissions de GES et transition climatique</t>
  </si>
  <si>
    <t>C4 – Risques climatiques</t>
  </si>
  <si>
    <t>C5 – Caractéristiques supplémentaires (générales) des effectifs</t>
  </si>
  <si>
    <t>C6 – Informations complémentaires sur les effectifs de l'entreprise – Politiques et procédures en matière de droits de l’homme</t>
  </si>
  <si>
    <t>C7 – Incidents graves en matière de droits de l’homme</t>
  </si>
  <si>
    <t>C8 – Recettes de certains secteurs et exclusion des indices de référence de l'UE</t>
  </si>
  <si>
    <t>C9 – Ratio femmes/hommes au sein de l'organe de gouvernance</t>
  </si>
  <si>
    <t>Site situé à proximité d'une zone sensible sur le plan de la biodiversité</t>
  </si>
  <si>
    <t>Alachlore</t>
  </si>
  <si>
    <t>Aldrine</t>
  </si>
  <si>
    <t>Ammoniac (NH3)</t>
  </si>
  <si>
    <t>Anthracène</t>
  </si>
  <si>
    <t>Amiante</t>
  </si>
  <si>
    <t>Benzène</t>
  </si>
  <si>
    <t>Benzo(g,h,i)pérylène</t>
  </si>
  <si>
    <t>Diphénylethers bromés (PBDE)</t>
  </si>
  <si>
    <t>Arsenic et ses composés (As)</t>
  </si>
  <si>
    <t>Cadmium et ses composés (Cd)</t>
  </si>
  <si>
    <t>Dioxyde de carbone (CO2)</t>
  </si>
  <si>
    <t>Monoxyde de carbone (CO)</t>
  </si>
  <si>
    <t>Chlordécone</t>
  </si>
  <si>
    <t>Chlorures (en tant que Cl total)</t>
  </si>
  <si>
    <t>Chlore et ses composés inorganiques (HCl)</t>
  </si>
  <si>
    <t>Chloroalcanes, C10-13</t>
  </si>
  <si>
    <t>Chlorofluorocarbures (CFC)</t>
  </si>
  <si>
    <t>Chrome et ses composés (Cr)</t>
  </si>
  <si>
    <t>Cuivre et ses composés (Cu)</t>
  </si>
  <si>
    <t>Cyanures (sous forme de CN total)</t>
  </si>
  <si>
    <t>Di(2-éthylhexyle)phtalate (DEHP)</t>
  </si>
  <si>
    <t>1,2-dichloroéthane (EDC)</t>
  </si>
  <si>
    <t>Dichlorométhane (DCM)</t>
  </si>
  <si>
    <t>Dieldrine</t>
  </si>
  <si>
    <t>Endosulfan</t>
  </si>
  <si>
    <t>Endrine</t>
  </si>
  <si>
    <t>Ethylbenzène</t>
  </si>
  <si>
    <t>Oxyde d'éthylène</t>
  </si>
  <si>
    <t>Fluoranthène</t>
  </si>
  <si>
    <t>Fluorures (en tant que F total)</t>
  </si>
  <si>
    <t>Fluorure d'hydrogène et ses composés inorganiques (HF)</t>
  </si>
  <si>
    <t>Composés organiques halogénés adsorbables (AOX)</t>
  </si>
  <si>
    <t>Heptachlore</t>
  </si>
  <si>
    <t>Hexabromobiphényl</t>
  </si>
  <si>
    <t>Hexachlorobenzène (HCB)</t>
  </si>
  <si>
    <t>Hexachlorobutadiène (HCBD)</t>
  </si>
  <si>
    <t>Hexachlorocyclohexane (HCH)</t>
  </si>
  <si>
    <t>Hydrochlorofluorocarbures  (HCFC)</t>
  </si>
  <si>
    <t>Hydrofluorocarbures (HFC)</t>
  </si>
  <si>
    <t>Cyanure d'hydrogène  (HCN)</t>
  </si>
  <si>
    <t>Isodrine</t>
  </si>
  <si>
    <t>Plomb et ses composés (Pb)</t>
  </si>
  <si>
    <t>Mercure et ses composés (Hg)</t>
  </si>
  <si>
    <t>Méthane (CH4)</t>
  </si>
  <si>
    <t>Nickel et ses composés (Ni)</t>
  </si>
  <si>
    <t>Oxydes d'azote (NOx/NO2)</t>
  </si>
  <si>
    <t>Protoxyde d'azote (N2O)</t>
  </si>
  <si>
    <t>Composés organiques volatils autres que le méthane (COVNM)</t>
  </si>
  <si>
    <t>Nonylphénol et éthoxylates de nonylphénol (NP/NPE)</t>
  </si>
  <si>
    <t>Octylphénols et éthoxylates d’octylphénol</t>
  </si>
  <si>
    <t>Composés organostanniques (en tant que Sn total)</t>
  </si>
  <si>
    <t>Particules en suspension (PM)</t>
  </si>
  <si>
    <t>PCDD + PCDF (dioxines + furanes) (Teq)</t>
  </si>
  <si>
    <t>Pentachlorobenzène</t>
  </si>
  <si>
    <t>Pentachlorophénol</t>
  </si>
  <si>
    <t>Perfluorocarbures (PFC)</t>
  </si>
  <si>
    <t>Acide perfluorohexane sulfonique (PFHxS) et ses sels</t>
  </si>
  <si>
    <t>Acide perfluorooctanoïque (PFOA) et ses sels</t>
  </si>
  <si>
    <t>Phénoles (en tant que C total)</t>
  </si>
  <si>
    <t>Biphényles polychlorés (PCB)</t>
  </si>
  <si>
    <t>Hydrocarbures aromatiques polycycliques (HAP)</t>
  </si>
  <si>
    <t>Hexafluorure de soufre (SF6)</t>
  </si>
  <si>
    <t>Oxydes de soufre (SOx/SO2)</t>
  </si>
  <si>
    <t>Tétrachloroéthylène (PER)</t>
  </si>
  <si>
    <t>Tétrachlorométhane (TCM)</t>
  </si>
  <si>
    <t>1,1,2,2-tétrachloroéthane</t>
  </si>
  <si>
    <t>Toluène</t>
  </si>
  <si>
    <t>Azote total</t>
  </si>
  <si>
    <t>Carbone organique total (TOC) (en C total ou DCO/3)</t>
  </si>
  <si>
    <t>Phosphore total</t>
  </si>
  <si>
    <t>Toxaphène</t>
  </si>
  <si>
    <t>Tributylétain et ses composés</t>
  </si>
  <si>
    <t>Trichlorobenzènes (TCB) (tous isomères)</t>
  </si>
  <si>
    <t>1,1,1-trichloroéthane</t>
  </si>
  <si>
    <t>Trichloroéthylène</t>
  </si>
  <si>
    <t>Trichlorométhane</t>
  </si>
  <si>
    <t>Trifluraline</t>
  </si>
  <si>
    <t>Triphénylétain et ses composés</t>
  </si>
  <si>
    <t>Chlorure de vinyle</t>
  </si>
  <si>
    <t>Xylènes</t>
  </si>
  <si>
    <t>Zinc et ses composés (Zn)</t>
  </si>
  <si>
    <r>
      <t xml:space="preserve">Types de déchets </t>
    </r>
    <r>
      <rPr>
        <sz val="11"/>
        <color theme="1"/>
        <rFont val="Aptos Narrow"/>
        <family val="2"/>
        <scheme val="minor"/>
      </rPr>
      <t>(Règlement (UE) 2024/1244 du Parlement européen et du Conseil du 24 avril 2024 concernant la notification des données environnementales des installations industrielles et la création d’un portail sur les émissions industrielles et abrogeant le règlement (CE) n° 166/2006)</t>
    </r>
  </si>
  <si>
    <t>kilogrammes (kg)</t>
  </si>
  <si>
    <t>tonnes métriques (t)</t>
  </si>
  <si>
    <t>Récepteur</t>
  </si>
  <si>
    <t>Eau</t>
  </si>
  <si>
    <t>Sol</t>
  </si>
  <si>
    <t>Questions de durabilité visées</t>
  </si>
  <si>
    <t>Hectares ou mètres carrés</t>
  </si>
  <si>
    <r>
      <t>mètres carrés (m2</t>
    </r>
    <r>
      <rPr>
        <sz val="11"/>
        <color theme="1"/>
        <rFont val="Aptos Narrow"/>
        <family val="2"/>
      </rPr>
      <t>)</t>
    </r>
  </si>
  <si>
    <t>OUI ou NON</t>
  </si>
  <si>
    <t>OUI</t>
  </si>
  <si>
    <t>NON</t>
  </si>
  <si>
    <t>Pratique</t>
  </si>
  <si>
    <t>Politique</t>
  </si>
  <si>
    <t>Initiative future</t>
  </si>
  <si>
    <t>Janvier</t>
  </si>
  <si>
    <t>Février</t>
  </si>
  <si>
    <t>Mars</t>
  </si>
  <si>
    <t>Avril</t>
  </si>
  <si>
    <t>Mai</t>
  </si>
  <si>
    <t>Juin</t>
  </si>
  <si>
    <t>Juillet</t>
  </si>
  <si>
    <t>Août</t>
  </si>
  <si>
    <t>Septembre</t>
  </si>
  <si>
    <t>Octobre</t>
  </si>
  <si>
    <t>Novembre</t>
  </si>
  <si>
    <t>Décembre</t>
  </si>
  <si>
    <t>Statut de la mise en œuvre</t>
  </si>
  <si>
    <t>Adoption prévue d'un plan de transition</t>
  </si>
  <si>
    <t>Un plan de transition a déjà été adopté</t>
  </si>
  <si>
    <t>Liste des informations omises</t>
  </si>
  <si>
    <t>Unité de mesure (masse uniquement)</t>
  </si>
  <si>
    <t>Catégories de déchets (pour validation uniquement)</t>
  </si>
  <si>
    <t>À la fin de la période de référence</t>
  </si>
  <si>
    <t>Jours</t>
  </si>
  <si>
    <t>Identifiant (système d'identification)</t>
  </si>
  <si>
    <t>EUiD</t>
  </si>
  <si>
    <r>
      <t xml:space="preserve">Codes des monnaies  </t>
    </r>
    <r>
      <rPr>
        <sz val="11"/>
        <color theme="1"/>
        <rFont val="Aptos Narrow"/>
        <family val="2"/>
        <scheme val="minor"/>
      </rPr>
      <t>(ISO 4217)</t>
    </r>
  </si>
  <si>
    <t>Numéro du mois</t>
  </si>
  <si>
    <t xml:space="preserve">Chaîne Date de fin : </t>
  </si>
  <si>
    <t>Formule de localisation</t>
  </si>
  <si>
    <t>Longitude,Latitude ('Informations générales!'K106:K130)</t>
  </si>
  <si>
    <t>Consommation horaire d'énergie en MWh pour les combustibles liquides :</t>
  </si>
  <si>
    <t>Consommation horaire d'énergie en MWh pour les combustibles solides :</t>
  </si>
  <si>
    <t>Consommation horaire d'énergie en MWh pour les combustibles gazeux :</t>
  </si>
  <si>
    <r>
      <rPr>
        <sz val="11"/>
        <color theme="1"/>
        <rFont val="Calibri"/>
        <family val="2"/>
      </rPr>
      <t>É</t>
    </r>
    <r>
      <rPr>
        <sz val="11"/>
        <color theme="1"/>
        <rFont val="Aptos Narrow"/>
        <family val="2"/>
      </rPr>
      <t>tapes pour utiliser le tableau des unités de masse :</t>
    </r>
  </si>
  <si>
    <t>1. Dans la cellule B5, sélectionnez l'unité de mesure à convertir et dans la cellule B6, indiquez la quantité.</t>
  </si>
  <si>
    <t>2. Dans la cellule D5, sélectionnez l'unité de mesure souhaitée.</t>
  </si>
  <si>
    <t>3. Le résultat de la conversion s'affiche dans la cellule D6.</t>
  </si>
  <si>
    <t>Les étapes à suivre sont les mêmes pour les autres tableaux (volume, consommation d'énergie, densité et PCI).</t>
  </si>
  <si>
    <t>Les unités de mesure de chaque tableau sont les suivantes :</t>
  </si>
  <si>
    <r>
      <rPr>
        <sz val="11"/>
        <color theme="1"/>
        <rFont val="Symbol"/>
        <family val="1"/>
        <charset val="2"/>
      </rPr>
      <t>·</t>
    </r>
    <r>
      <rPr>
        <sz val="11"/>
        <color theme="1"/>
        <rFont val="Aptos Narrow"/>
        <family val="2"/>
      </rPr>
      <t xml:space="preserve"> unités de mesure du convertisseur de masse :</t>
    </r>
  </si>
  <si>
    <r>
      <rPr>
        <sz val="11"/>
        <color theme="1"/>
        <rFont val="Symbol"/>
        <family val="1"/>
        <charset val="2"/>
      </rPr>
      <t>·</t>
    </r>
    <r>
      <rPr>
        <sz val="11"/>
        <color theme="1"/>
        <rFont val="Aptos Narrow"/>
        <family val="2"/>
      </rPr>
      <t xml:space="preserve"> </t>
    </r>
    <r>
      <rPr>
        <sz val="11"/>
        <color theme="1"/>
        <rFont val="Aptos Narrow"/>
        <family val="2"/>
        <scheme val="minor"/>
      </rPr>
      <t>unités de mesure du convertisseur de volume :</t>
    </r>
  </si>
  <si>
    <r>
      <rPr>
        <sz val="11"/>
        <color theme="1"/>
        <rFont val="Symbol"/>
        <family val="1"/>
        <charset val="2"/>
      </rPr>
      <t>°</t>
    </r>
    <r>
      <rPr>
        <sz val="11"/>
        <color theme="1"/>
        <rFont val="Aptos Narrow"/>
        <family val="2"/>
      </rPr>
      <t xml:space="preserve"> Gg - gigagramme ;</t>
    </r>
  </si>
  <si>
    <t>° t - tonne ;</t>
  </si>
  <si>
    <t>° kg - kilogramme ;</t>
  </si>
  <si>
    <t>° g - gramme.</t>
  </si>
  <si>
    <r>
      <t>° m</t>
    </r>
    <r>
      <rPr>
        <vertAlign val="superscript"/>
        <sz val="11"/>
        <color theme="1"/>
        <rFont val="Aptos Narrow"/>
        <scheme val="minor"/>
      </rPr>
      <t xml:space="preserve">3 </t>
    </r>
    <r>
      <rPr>
        <sz val="11"/>
        <color theme="1"/>
        <rFont val="Aptos Narrow"/>
        <scheme val="minor"/>
      </rPr>
      <t>- mètre cube ;</t>
    </r>
  </si>
  <si>
    <t>° l - litre.</t>
  </si>
  <si>
    <r>
      <rPr>
        <sz val="11"/>
        <color theme="1"/>
        <rFont val="Symbol"/>
        <family val="1"/>
        <charset val="2"/>
      </rPr>
      <t>·</t>
    </r>
    <r>
      <rPr>
        <sz val="11"/>
        <color theme="1"/>
        <rFont val="Aptos Narrow"/>
        <family val="2"/>
        <scheme val="minor"/>
      </rPr>
      <t xml:space="preserve"> unités de mesure du convertisseur d'énergie :</t>
    </r>
  </si>
  <si>
    <t>° TJ - térajoule ;</t>
  </si>
  <si>
    <t>° MWh - mégawattheure.</t>
  </si>
  <si>
    <r>
      <rPr>
        <sz val="11"/>
        <color theme="1"/>
        <rFont val="Symbol"/>
        <family val="1"/>
        <charset val="2"/>
      </rPr>
      <t>·</t>
    </r>
    <r>
      <rPr>
        <sz val="11"/>
        <color theme="1"/>
        <rFont val="Aptos Narrow"/>
        <family val="2"/>
      </rPr>
      <t xml:space="preserve"> unités de mesure du convertisseur de densité :</t>
    </r>
  </si>
  <si>
    <t>° g/l ;</t>
  </si>
  <si>
    <t>° t/l ;</t>
  </si>
  <si>
    <t>° Gg/l :</t>
  </si>
  <si>
    <r>
      <t>° g/m</t>
    </r>
    <r>
      <rPr>
        <vertAlign val="superscript"/>
        <sz val="11"/>
        <color theme="1"/>
        <rFont val="Aptos Narrow"/>
        <scheme val="minor"/>
      </rPr>
      <t>3</t>
    </r>
    <r>
      <rPr>
        <sz val="11"/>
        <color theme="1"/>
        <rFont val="Aptos Narrow"/>
        <family val="2"/>
        <scheme val="minor"/>
      </rPr>
      <t xml:space="preserve"> ;</t>
    </r>
  </si>
  <si>
    <r>
      <t>° kg/m</t>
    </r>
    <r>
      <rPr>
        <vertAlign val="superscript"/>
        <sz val="11"/>
        <color theme="1"/>
        <rFont val="Aptos Narrow"/>
        <scheme val="minor"/>
      </rPr>
      <t>3</t>
    </r>
    <r>
      <rPr>
        <sz val="11"/>
        <color theme="1"/>
        <rFont val="Aptos Narrow"/>
        <family val="2"/>
        <scheme val="minor"/>
      </rPr>
      <t xml:space="preserve"> ;</t>
    </r>
  </si>
  <si>
    <r>
      <t>° t/m</t>
    </r>
    <r>
      <rPr>
        <vertAlign val="superscript"/>
        <sz val="11"/>
        <color theme="1"/>
        <rFont val="Aptos Narrow"/>
        <scheme val="minor"/>
      </rPr>
      <t>3</t>
    </r>
    <r>
      <rPr>
        <sz val="11"/>
        <color theme="1"/>
        <rFont val="Aptos Narrow"/>
        <family val="2"/>
        <scheme val="minor"/>
      </rPr>
      <t xml:space="preserve"> ;</t>
    </r>
  </si>
  <si>
    <r>
      <t>° Gg/m</t>
    </r>
    <r>
      <rPr>
        <vertAlign val="superscript"/>
        <sz val="11"/>
        <color theme="1"/>
        <rFont val="Aptos Narrow"/>
        <scheme val="minor"/>
      </rPr>
      <t>3</t>
    </r>
    <r>
      <rPr>
        <sz val="11"/>
        <color theme="1"/>
        <rFont val="Aptos Narrow"/>
        <family val="2"/>
        <scheme val="minor"/>
      </rPr>
      <t>.</t>
    </r>
  </si>
  <si>
    <t>° kg/l ;</t>
  </si>
  <si>
    <r>
      <rPr>
        <sz val="11"/>
        <color theme="1"/>
        <rFont val="Symbol"/>
        <family val="1"/>
        <charset val="2"/>
      </rPr>
      <t>·</t>
    </r>
    <r>
      <rPr>
        <sz val="11"/>
        <color theme="1"/>
        <rFont val="Aptos Narrow"/>
        <family val="2"/>
      </rPr>
      <t xml:space="preserve"> </t>
    </r>
    <r>
      <rPr>
        <sz val="11"/>
        <color theme="1"/>
        <rFont val="Aptos Narrow"/>
        <family val="2"/>
        <scheme val="minor"/>
      </rPr>
      <t>unités de mesure du convertisseur de PCI :</t>
    </r>
  </si>
  <si>
    <t>° J/g ;</t>
  </si>
  <si>
    <t>° J/kg ;</t>
  </si>
  <si>
    <t>° J/t ;</t>
  </si>
  <si>
    <t>° J/Gg ;</t>
  </si>
  <si>
    <t>° KJ/g ;</t>
  </si>
  <si>
    <t>° KJ/kg ;</t>
  </si>
  <si>
    <t>° KJ/t ;</t>
  </si>
  <si>
    <t>° KJ/Gg ;</t>
  </si>
  <si>
    <t>° TJ/g ;</t>
  </si>
  <si>
    <t>° TJ/kg ;</t>
  </si>
  <si>
    <t>° TJ/t ;</t>
  </si>
  <si>
    <t>° TJ/Gg ;</t>
  </si>
  <si>
    <t>° MWh/g ;</t>
  </si>
  <si>
    <t>° MWh/kg ;</t>
  </si>
  <si>
    <t>° MWh/t ;</t>
  </si>
  <si>
    <t>° MWh/Gg.</t>
  </si>
  <si>
    <t>B3 - Estimation des émissions de gaz à effet de serre conformément au protocole GES, version 2004 (en tCO2e) [obligatoire]</t>
  </si>
  <si>
    <t>L'entreprise s'est-elle fixé des cibles de réduction des émissions de GES ?</t>
  </si>
  <si>
    <t>Méthode de comptabilisation des salariés pour les informations ci-dessous (effectifs ou équivalents temps plein, lié à B1)</t>
  </si>
  <si>
    <t>Méthode de comptabilisation des salariés pour les informations ci-dessous (en fin de période de référence ou moyenne de la période de référence, lié à B1)</t>
  </si>
  <si>
    <t xml:space="preserve">Indique que la valeur de la cellule est automatiquement calculée et qu'aucune saisie n'est nécessaire. Veuillez noter que les formules dans ces cellules ne peuvent pas être modifiées. </t>
  </si>
  <si>
    <t>Masse</t>
  </si>
  <si>
    <t>Gg - gigagramme</t>
  </si>
  <si>
    <t>kg - kilogramme</t>
  </si>
  <si>
    <t>g - gramme</t>
  </si>
  <si>
    <r>
      <t>m</t>
    </r>
    <r>
      <rPr>
        <sz val="11"/>
        <color theme="1"/>
        <rFont val="Aptos Narrow"/>
        <family val="2"/>
      </rPr>
      <t>³ - mètre cube</t>
    </r>
  </si>
  <si>
    <t>l - litre</t>
  </si>
  <si>
    <t>Énergie</t>
  </si>
  <si>
    <t>TJ - térajoule</t>
  </si>
  <si>
    <t>MWh - mégawattheure</t>
  </si>
  <si>
    <t>Masse et volume</t>
  </si>
  <si>
    <t>de → en</t>
  </si>
  <si>
    <t>g/l</t>
  </si>
  <si>
    <t>kg/l</t>
  </si>
  <si>
    <t>t/l</t>
  </si>
  <si>
    <t>Gg/l</t>
  </si>
  <si>
    <t>kg/m³</t>
  </si>
  <si>
    <t>J/kg</t>
  </si>
  <si>
    <t>KJ/kg</t>
  </si>
  <si>
    <t>MWh/kg</t>
  </si>
  <si>
    <t>TJ/kg</t>
  </si>
  <si>
    <t>kg</t>
  </si>
  <si>
    <t>État renouvelable type</t>
  </si>
  <si>
    <r>
      <t>CONVERTISSEUR DES UNIT</t>
    </r>
    <r>
      <rPr>
        <b/>
        <sz val="11"/>
        <color theme="1"/>
        <rFont val="Arial Narrow"/>
        <family val="2"/>
      </rPr>
      <t>É</t>
    </r>
    <r>
      <rPr>
        <b/>
        <sz val="11"/>
        <color theme="1"/>
        <rFont val="Aptos Narrow"/>
        <family val="2"/>
      </rPr>
      <t>S DE MESURE</t>
    </r>
  </si>
  <si>
    <r>
      <t>Liste des codes NACE</t>
    </r>
    <r>
      <rPr>
        <sz val="11"/>
        <rFont val="Calibri"/>
        <family val="2"/>
      </rPr>
      <t xml:space="preserve"> (Règlement délégué (UE) 2023/137 de la Commission du 10 octobre 2022 modifiant le règlement (CE) no 1893/2006 du Parlement européen et du Conseil établissant la nomenclature statistique des activités économiques NACE Rév. 2 (Texte présentant de l’intérêt pour l’EEE) C/2022/7104)</t>
    </r>
  </si>
  <si>
    <t>Nom technique</t>
  </si>
  <si>
    <t>Catégories NACE</t>
  </si>
  <si>
    <t>Nom technique NACE</t>
  </si>
  <si>
    <t>kilogramme (kg)</t>
  </si>
  <si>
    <t>tonne métrique (t)</t>
  </si>
  <si>
    <r>
      <t>mètre cube (m3</t>
    </r>
    <r>
      <rPr>
        <sz val="11"/>
        <color theme="1"/>
        <rFont val="Aptos Narrow"/>
        <family val="2"/>
      </rPr>
      <t>)</t>
    </r>
  </si>
  <si>
    <t>Chaîne Période de référence :</t>
  </si>
  <si>
    <t>2. Vous pouvez trouver de plus amples informations sur les exigences de publication dans la Norme VSME et dans les orientations correspondantes se rapportant à chaque cellule. Des informations supplémentaires ou spécifiques à l'entité peuvent être fournies dans la zone de texte à la fin de chaque feuille.</t>
  </si>
  <si>
    <t>Indique que la saisie est OK et que l'entreprise peut poursuivre et passer à l'information suivante.</t>
  </si>
  <si>
    <t>· Informations du rapport nécessaires pour générer le rapport XBRL</t>
  </si>
  <si>
    <t>· C6 - Informations complémentaires sur les effectifs de l’entreprise – Politiques et procédures en matière de droits de l’homme</t>
  </si>
  <si>
    <t>Informations du rapport nécessaires pour générer le rapport  XBRL  [obligatoire]</t>
  </si>
  <si>
    <r>
      <t xml:space="preserve">Géolocalisation automatique : en autorisant la géolocalisation avec OpenStreetMap en cochant la case ci-dessous, l'entreprise déclare avoir connaissance et accepter la politique de géolocalisation et la politique en matière de confidentialité.
OpenStreetMap® est une carte ouverte, concédée sous licence par la Fondation OpenStreetMap (OSMF) dans le cadre de l'Open Data Commons Open Database License (ODbL). Toutes les données sont la propriété d'OpenStreetMap®.
</t>
    </r>
    <r>
      <rPr>
        <b/>
        <u/>
        <sz val="11"/>
        <color rgb="FF0070C0"/>
        <rFont val="Aptos Narrow"/>
        <family val="2"/>
        <scheme val="minor"/>
      </rPr>
      <t>Politique de géolocalisation</t>
    </r>
    <r>
      <rPr>
        <sz val="11"/>
        <color theme="1"/>
        <rFont val="Aptos Narrow"/>
        <family val="2"/>
        <scheme val="minor"/>
      </rPr>
      <t xml:space="preserve">
</t>
    </r>
    <r>
      <rPr>
        <b/>
        <u/>
        <sz val="11"/>
        <color rgb="FF0070C0"/>
        <rFont val="Aptos Narrow"/>
        <family val="2"/>
        <scheme val="minor"/>
      </rPr>
      <t>Politique de confidentialité</t>
    </r>
  </si>
  <si>
    <t>Niveau d'encadrement le plus élevé responsable de la mise en œuvre des pratiques, politiques ou initiatives futures (s'il y a lieu)</t>
  </si>
  <si>
    <r>
      <t xml:space="preserve">Description du plan de transition pour l'atténuation du changement climatique, notamment explication sur la manière dont ce plan contribue à réduire les émissions de GES - </t>
    </r>
    <r>
      <rPr>
        <b/>
        <sz val="11"/>
        <color theme="1"/>
        <rFont val="Aptos Narrow"/>
        <scheme val="minor"/>
      </rPr>
      <t>Facultatif</t>
    </r>
  </si>
  <si>
    <t>Date prévue pour l'adoption d'un plan de transition pour les entreprises qui n'en disposent pas encore</t>
  </si>
  <si>
    <t>L’entreprise est-elle déjà tenue, en vertu de la législation ou de réglementations nationales, de fournir des informations aux autorités compétentes sur ses rejets de polluants, ou fournit-elle déjà volontairement ce type d’informations dans le cadre d’un système de management environnemental ?</t>
  </si>
  <si>
    <t>Superficie</t>
  </si>
  <si>
    <t>Information sur la façon dont l'entreprise a évalué l'exposition et la sensibilité de ses actifs, de ses activités et de sa chaîne de valeur à ces aléas et événements liés à la transition</t>
  </si>
  <si>
    <t>Horizons temporels des aléas climatiques et événements liés à la transition identifiés</t>
  </si>
  <si>
    <r>
      <t xml:space="preserve">Incidences négatives potentielles des risques climatiques sur la performance financière ou les activités à court, moyen ou long terme, en précisant si l'entreprise évalue les risques comme étant élevés, moyens ou faibles </t>
    </r>
    <r>
      <rPr>
        <b/>
        <sz val="11"/>
        <color theme="1"/>
        <rFont val="Aptos Narrow"/>
        <family val="2"/>
        <scheme val="minor"/>
      </rPr>
      <t>- Facultatif</t>
    </r>
  </si>
  <si>
    <r>
      <t xml:space="preserve">Information sur les éventuelles actions d'adaptation au changement climatique mises en </t>
    </r>
    <r>
      <rPr>
        <sz val="11"/>
        <color theme="1"/>
        <rFont val="Aptos Narrow"/>
        <scheme val="minor"/>
      </rPr>
      <t>œ</t>
    </r>
    <r>
      <rPr>
        <sz val="11"/>
        <color theme="1"/>
        <rFont val="Aptos Narrow"/>
        <family val="2"/>
        <scheme val="minor"/>
      </rPr>
      <t>uvre pour faire face à tout aléa climatique ou événement lié à la transition</t>
    </r>
  </si>
  <si>
    <t>Total salariés (lié à B1)</t>
  </si>
  <si>
    <t>Nombre de salariés ayant quitté leur emploi pendant la période de référence</t>
  </si>
  <si>
    <t>Les salariés perçoivent une rémunération égale ou supérieure au salaire minimum du pays dans lequel l'entreprise fournit les informations, fixé directement par la législation ou dans le cadre d’une négociation collective</t>
  </si>
  <si>
    <t>Les entreprises sont exclues des indices de référence de l'Union si elles tirent :</t>
  </si>
  <si>
    <t>Indique que la cellule peut être remplie soit en sélectionnant une valeur dans la liste déroulante (type de combustible ou unité de mesure), soit en saisissant une quantité.</t>
  </si>
  <si>
    <t>Principales sources (densité et PCI dans les cellules blanches) :</t>
  </si>
  <si>
    <t>- Note technique du CDP : conversion des données sur les combustibles en MWh (fondée sur les Lignes directrices pour les inventaires nationaux des gaz à effet de serre du GIEC, 2006, publiées par le World Resources Institute (WRI)/Conseil mondial des entreprises pour le développement durable (WBCSD) dans leur outil de calcul de la combustion stationnaire, verson 3.1(1)).</t>
  </si>
  <si>
    <r>
      <t>https://cdn.cdp.net/cdp-production/cms/guidance_docs/pdfs/000/000/477/original/CDP-Conversion-of-fuel-data-to-MWh.pdf?1479755175</t>
    </r>
    <r>
      <rPr>
        <sz val="11"/>
        <rFont val="Aptos Narrow"/>
        <family val="2"/>
        <scheme val="minor"/>
      </rPr>
      <t>.</t>
    </r>
  </si>
  <si>
    <t>PCI type [TJ/Gg]</t>
  </si>
  <si>
    <t>Utilisation du convertisseur des unités de mesure</t>
  </si>
  <si>
    <t>La mention de droit d’auteur ci-dessus et la présente clause d’autorisation doivent être incluses</t>
  </si>
  <si>
    <t>Méthodes de comptabilisation des salariés</t>
  </si>
  <si>
    <t>Moyenne sur la période de référence</t>
  </si>
  <si>
    <t>Indique que l'information est tirée du module de base de la Norme VSME.</t>
  </si>
  <si>
    <t>Indique que l'information est tirée du module narratif de la Norme VSME.</t>
  </si>
  <si>
    <t>Indique que la valeur de la cellule est automatiquement calculée et qu'aucune donnée n'est à saisir.</t>
  </si>
  <si>
    <t>Indique que les données sont saisies dans un format incorrect ou qu'il manque des éléments pour que les exigences de publication soient correctement remplies.</t>
  </si>
  <si>
    <t>Les droits de reproduction et d'utilisation sont strictement limités. Pour plus de détails, veuillez contacter efragsecretariat@efrag.org.</t>
  </si>
  <si>
    <t>Statut de validation spécifique de l'élément</t>
  </si>
  <si>
    <t>Statut de validation général</t>
  </si>
  <si>
    <t xml:space="preserve">             Informations sur les certifications ou labels en matière de durabilité</t>
  </si>
  <si>
    <t xml:space="preserve">             Cibles de réduction des émissions de GES (en tC02e)</t>
  </si>
  <si>
    <t xml:space="preserve">              Liste des principales mesures mises en place par l'entreprise pour atteindre ses cibles</t>
  </si>
  <si>
    <t xml:space="preserve">              Plan de transition pour les entreprises opérant dans des secteurs à fort impact climatique</t>
  </si>
  <si>
    <t>Les rubriques de la table des matières suivent la structure du modèle.</t>
  </si>
  <si>
    <t>Ce rapport comporte des informations relatives à la période de référence précédente qui sont inchangées.</t>
  </si>
  <si>
    <t>Liste des informations inchangées par rapport à la période de référence précédente.</t>
  </si>
  <si>
    <t>Lien vers le rapport précédent comportant des informations inchangées.</t>
  </si>
  <si>
    <t>Description des certifications ou labels en matière de durabilité, y compris, si pertinent, l'émetteur, la date et le score.</t>
  </si>
  <si>
    <t>Questions de durabilité sur lesquelles porte une pratique, une politique ou une initiative future mise en place ou prévue.</t>
  </si>
  <si>
    <t>L'entreprise a fixé une cible pour cette politique</t>
  </si>
  <si>
    <t>La stratégie comporte-t-elle des éléments clés liés aux questions de durabilité ou influant sur ces questions ?</t>
  </si>
  <si>
    <t>Description de ces éléments clés liés aux questions de durabilité ou influant sur ces questions</t>
  </si>
  <si>
    <t>C3 - Cibles de réduction des GES (en tCO2e) [si pertinent]</t>
  </si>
  <si>
    <t>Emissions brutes de GES du périmètre 1</t>
  </si>
  <si>
    <t>Emissions brutes de GES du périmètre 2 fondées sur la localisation</t>
  </si>
  <si>
    <r>
      <t xml:space="preserve">Emissions brutes de GES du périmètre 2 fondées sur le marché  </t>
    </r>
    <r>
      <rPr>
        <b/>
        <sz val="11"/>
        <color theme="1"/>
        <rFont val="Aptos Narrow"/>
        <family val="2"/>
        <scheme val="minor"/>
      </rPr>
      <t>- Facultatif</t>
    </r>
  </si>
  <si>
    <t>Total Emissions des périmètres 1 et 2  (fondées sur la localisation)</t>
  </si>
  <si>
    <r>
      <t xml:space="preserve">Total Emissions des périmètres 1 et 2  (fondées sur le marché) </t>
    </r>
    <r>
      <rPr>
        <b/>
        <sz val="11"/>
        <color theme="1"/>
        <rFont val="Aptos Narrow"/>
        <family val="2"/>
        <scheme val="minor"/>
      </rPr>
      <t>- Facultatif</t>
    </r>
  </si>
  <si>
    <t>L'entreprise publie-t-elle des informations sur les émissions du périmètre 3 spécifiques à l'entité (en tCO2e) ?</t>
  </si>
  <si>
    <t>Total Émissions du périmètre 3</t>
  </si>
  <si>
    <t>Total Émissions des périmètres 1, 2 et 3 (fondées sur la localisation)</t>
  </si>
  <si>
    <r>
      <t xml:space="preserve">Total Émissions des périmètres 1, 2 et 3 (fondées sur marché) </t>
    </r>
    <r>
      <rPr>
        <b/>
        <sz val="11"/>
        <color theme="1"/>
        <rFont val="Aptos Narrow"/>
        <family val="2"/>
        <scheme val="minor"/>
      </rPr>
      <t>- Facultatif</t>
    </r>
  </si>
  <si>
    <t>Intensité des émissions de GES des périmètres 1 et 2 (fondées sur la localisation)</t>
  </si>
  <si>
    <r>
      <t xml:space="preserve">Intensité des émissions de GES des périmètres 1 et 2 (fondées sur  le marché) - </t>
    </r>
    <r>
      <rPr>
        <b/>
        <sz val="11"/>
        <color theme="1"/>
        <rFont val="Aptos Narrow"/>
        <scheme val="minor"/>
      </rPr>
      <t>Facultatif</t>
    </r>
  </si>
  <si>
    <t>Intensité totale des émissions de GES des périmètres 1, 2 et 3 (fondées sur la localisation)</t>
  </si>
  <si>
    <r>
      <t xml:space="preserve">Intensité totale des émissions de GES des périmètres 1, 2 et 3 (fondées sur le marché) - </t>
    </r>
    <r>
      <rPr>
        <b/>
        <sz val="11"/>
        <color theme="1"/>
        <rFont val="Aptos Narrow"/>
        <scheme val="minor"/>
      </rPr>
      <t>Facultatif</t>
    </r>
  </si>
  <si>
    <t>Veuillez sélectonner l'unité de mesure utilisée pour la superficie (hectares ou m²) :</t>
  </si>
  <si>
    <t>Total des terres affectées</t>
  </si>
  <si>
    <t>Total des prélèvements d'eau sur les sites situés dans des zones soumises à un stress hydrique élevé (mètres cubes, m³)</t>
  </si>
  <si>
    <t>Les processus de production de l'entreprise entraînent-ils une consommation d'eau importante (procédés thermiques tels que séchage ou production d'énergie, production de biens, irrigation agricole, etc.)</t>
  </si>
  <si>
    <t>L’entreprise exerce-t-elle ses activités dans un secteur utilisant des flux de matières importants (fabrication, construction, emballage ou autres) ?</t>
  </si>
  <si>
    <t>Contrat à durée indéterminée</t>
  </si>
  <si>
    <t>Contrat temporaire</t>
  </si>
  <si>
    <r>
      <t>CLAUSE DE NON-RESPONSABILIT</t>
    </r>
    <r>
      <rPr>
        <b/>
        <sz val="16"/>
        <color rgb="FF242424"/>
        <rFont val="Aptos Display"/>
        <scheme val="major"/>
      </rPr>
      <t>É</t>
    </r>
    <r>
      <rPr>
        <b/>
        <sz val="16"/>
        <color rgb="FF242424"/>
        <rFont val="Aptos"/>
        <family val="2"/>
      </rPr>
      <t xml:space="preserve"> :
</t>
    </r>
    <r>
      <rPr>
        <sz val="16"/>
        <color rgb="FF242424"/>
        <rFont val="Aptos"/>
      </rPr>
      <t xml:space="preserve">Ce convertisseur est uniquement destiné à illustrer comment la consommation d'énergie (en </t>
    </r>
    <r>
      <rPr>
        <sz val="16"/>
        <color rgb="FF242424"/>
        <rFont val="Aptos"/>
        <family val="2"/>
      </rPr>
      <t>MWh) peut être calculée à partir de différents combustibles. L'EFRAG décline toute responsabilité quant au contenu ou aux conséquences ou dommages directs, indirects ou accessoires découlant de l'utilisation de ce convertisseur.
Veuillez noter que les valeurs types du pouvoir calorifique inférieur (PCI) et de la densité sont fournis pour chaque type de combustible. Toutefois, ces paramètres varient en fonction de facteurs tels que les règlementations nationales, les caractéristiques propres des fournisseurs de combustibles et d'autres circonstances. Les utilisateurs doivent donc saisir manuellement ou ajuster les valeurs du pouvoir calorifique inférieur et de la densité de manière à refléter leur situation.
Par ailleurs, les utilisateurs sont invités à calculer la part renouvelable de chaque combustible sur la base de la garantie d'origine, visée à l'article 19 de la directive (UE) 2018/2001 relative à la promotion de l'utilisation de l'énergie produite à partir de sources renouvelables. Le statut "renouvelable" indiqué par défaut pour chaque combustible est une valeur type et doit être ajusté si nécessaire, en fonction des circonstances géographiques et individuelles.</t>
    </r>
  </si>
  <si>
    <t>1. Dans la cellule B10, cliquez pour afficher la liste déroulante et sélectionnez le combustible utilisé.</t>
  </si>
  <si>
    <t>2. Dans la cellule B16, sélectionnez l'unité de mesure utilisée.</t>
  </si>
  <si>
    <t>3. Dans la cellule B17, sélectionnez la quantité de combustible utilisée.</t>
  </si>
  <si>
    <t>4. La cellule A22 indique l'énergie produite en mégawattheures pour la quantité de combustible indiquée.</t>
  </si>
  <si>
    <t>5. La cellule A32 indique l'énergie renouvelable totale en mégawattheures.</t>
  </si>
  <si>
    <t>6. La cellule B32 indique l'énergie non renouvelable totale en mégawattheures.</t>
  </si>
  <si>
    <r>
      <t xml:space="preserve">7. </t>
    </r>
    <r>
      <rPr>
        <u/>
        <sz val="11"/>
        <color rgb="FF0070C0"/>
        <rFont val="Aptos Narrow"/>
        <scheme val="minor"/>
      </rPr>
      <t>Des indications supplémentaires</t>
    </r>
    <r>
      <rPr>
        <sz val="11"/>
        <rFont val="Aptos Narrow"/>
        <family val="2"/>
        <scheme val="minor"/>
      </rPr>
      <t xml:space="preserve"> sont disponibles ci-dessous.</t>
    </r>
  </si>
  <si>
    <t>Énergie [MWh] = masse [t] x PCI [MWh/t]</t>
  </si>
  <si>
    <t>Masse [t] = volume [l] x densité [t/l]</t>
  </si>
  <si>
    <r>
      <t>Masse [t] = volume [m</t>
    </r>
    <r>
      <rPr>
        <i/>
        <vertAlign val="superscript"/>
        <sz val="11"/>
        <color theme="1"/>
        <rFont val="Aptos Narrow"/>
        <scheme val="minor"/>
      </rPr>
      <t>3</t>
    </r>
    <r>
      <rPr>
        <i/>
        <sz val="11"/>
        <color theme="1"/>
        <rFont val="Aptos Narrow"/>
        <scheme val="minor"/>
      </rPr>
      <t>] x densité [t/m</t>
    </r>
    <r>
      <rPr>
        <i/>
        <vertAlign val="superscript"/>
        <sz val="11"/>
        <color theme="1"/>
        <rFont val="Aptos Narrow"/>
        <scheme val="minor"/>
      </rPr>
      <t>3</t>
    </r>
    <r>
      <rPr>
        <i/>
        <sz val="11"/>
        <color theme="1"/>
        <rFont val="Aptos Narrow"/>
        <scheme val="minor"/>
      </rPr>
      <t>]</t>
    </r>
  </si>
  <si>
    <t>Autre kérosène</t>
  </si>
  <si>
    <t>Autres sources (densité et PCI dans les cellules roses) :</t>
  </si>
  <si>
    <t>- a. Densité type de la bioessence,</t>
  </si>
  <si>
    <t>- j. Densité type de l'orimulsion,</t>
  </si>
  <si>
    <t>- n.  Densité type du gaz de raffinerie,</t>
  </si>
  <si>
    <t xml:space="preserve">de ce logiciel et des fichiers de documentation associés (le « Logiciel »), </t>
  </si>
  <si>
    <t>LE LOGICIEL EST FOURNI « EN L'ETAT », SANS GARANTIE D’AUCUNE SORTE, EXPRESSE</t>
  </si>
  <si>
    <t>DANS LE CADRE D’UNE ACTION EN RESPONSABILITÉ CONTRACTUELLE, DÉLICTUELLE OU AUTRE,</t>
  </si>
  <si>
    <t>Timor-Leste</t>
  </si>
  <si>
    <t>Tanzanie (République unie de)</t>
  </si>
  <si>
    <t>Moldavie (République de)</t>
  </si>
  <si>
    <t>Liste des informations omises (avec Aucune)</t>
  </si>
  <si>
    <t>Aucune</t>
  </si>
  <si>
    <t>Naphtalène</t>
  </si>
  <si>
    <t>Emplacement zones sensibles sur le plan de la biodiversité</t>
  </si>
  <si>
    <r>
      <t xml:space="preserve">Date de fin de la période de référence </t>
    </r>
    <r>
      <rPr>
        <sz val="11"/>
        <color theme="1"/>
        <rFont val="Aptos Narrow"/>
        <scheme val="minor"/>
      </rPr>
      <t>(</t>
    </r>
    <r>
      <rPr>
        <b/>
        <sz val="11"/>
        <color theme="1"/>
        <rFont val="Aptos Narrow"/>
        <scheme val="minor"/>
      </rPr>
      <t>jj/mm/aaaa</t>
    </r>
    <r>
      <rPr>
        <sz val="11"/>
        <color theme="1"/>
        <rFont val="Aptos Narrow"/>
        <family val="2"/>
        <scheme val="minor"/>
      </rPr>
      <t>)</t>
    </r>
  </si>
  <si>
    <t>Le convertisseur permet de calculer simultanément l'énergie consommée pour 10 types de combustibles différents. Pour cela, veuillez développer les colonnes cachées en cliquant sur le bouton [+] en haut de la feuille.
Le convertisseur fonctionne de la même façon dans chaque colonne développée. 
Il est important de garder à l'esprit que le calcul automatique effectué par le convertisseur se fonde sur le pouvoir calorifique inférieur (PCI) et la densité types de chaque type de combustible. Si l'entreprise peut fournir ces valeurs pour les combustibles utilisés, la consommation d'énergie par mégawattheures pourra être calculée en intégrant ces valeurs spécifiques dans les formules automatisées de la feuille du convertisseur de combustibles.
Ces formules sont décrites ci-dessous au cas où un calcul non automatisé sur la base de valeurs spécifiques serait préféré au calcul automatisé du convertisseur. Si vous avez besoin de convertir l'unité de mesure de vos valeurs spécifiques, veuillez utiliser le convertisseur d'unités de mesure.</t>
  </si>
  <si>
    <t>de faire de même, sous réserve des conditions suivantes :</t>
  </si>
  <si>
    <t>L'autorisation est accordée par les présentes, gratuitement, à toute personne obtenant une copie</t>
  </si>
  <si>
    <t xml:space="preserve">d'utiliser le Logiciel sans restriction, y compris le droit d'utiliser, de copier, </t>
  </si>
  <si>
    <t>de modifier, de fusionner, de publier, de distribuer, de concéder en sous-licence ou de vendre</t>
  </si>
  <si>
    <r>
      <t xml:space="preserve">des copies du Logiciel, et </t>
    </r>
    <r>
      <rPr>
        <sz val="11"/>
        <rFont val="Aptos Narrow"/>
        <scheme val="minor"/>
      </rPr>
      <t>de</t>
    </r>
    <r>
      <rPr>
        <sz val="11"/>
        <color theme="1"/>
        <rFont val="Aptos Narrow"/>
        <family val="2"/>
        <scheme val="minor"/>
      </rPr>
      <t xml:space="preserve"> permettre aux personnes auxquelles il est fourni</t>
    </r>
  </si>
  <si>
    <t>OU IMPLICITE, Y COMPRIS LES GARANTIES DE QUALITÉ MARCHANDE, D’ADÉQUATION À</t>
  </si>
  <si>
    <r>
      <t>UN USAGE PARTICULIER ET D'ABSENCE DE CONTREFA</t>
    </r>
    <r>
      <rPr>
        <sz val="11"/>
        <color theme="1"/>
        <rFont val="Aptos Display"/>
        <scheme val="major"/>
      </rPr>
      <t>Ç</t>
    </r>
    <r>
      <rPr>
        <sz val="11"/>
        <color theme="1"/>
        <rFont val="Aptos Narrow"/>
        <family val="2"/>
      </rPr>
      <t>ON</t>
    </r>
    <r>
      <rPr>
        <sz val="11"/>
        <color theme="1"/>
        <rFont val="Aptos Narrow"/>
        <family val="2"/>
        <scheme val="minor"/>
      </rPr>
      <t>.</t>
    </r>
  </si>
  <si>
    <r>
      <t>EN AUCUN CAS, LES AUTEURS OU LES DÉTENTEURS DE DROITS D’AUTEUR NE PEUVENT ÊTR</t>
    </r>
    <r>
      <rPr>
        <sz val="11"/>
        <rFont val="Aptos Narrow"/>
        <scheme val="minor"/>
      </rPr>
      <t>E TENUS  RESPONSABLES EN CAS DE RÉCLAMATIONS, DOMMAGES OU AUTRES RESPONSABILITÉS,</t>
    </r>
  </si>
  <si>
    <t xml:space="preserve">DÉCOULANT DE OU EN RAPPORT AVEC LE LOGICIEL OU SON UTILISATION OU </t>
  </si>
  <si>
    <t>AVEC D’AUTRES TRANSACTIONS RELATIVES AU LOGICIEL.</t>
  </si>
  <si>
    <r>
      <t>Méthode de comptabilisation des salari</t>
    </r>
    <r>
      <rPr>
        <sz val="11"/>
        <rFont val="Aptos Narrow"/>
        <scheme val="minor"/>
      </rPr>
      <t>és (effectifs ou équivalents temps plein)</t>
    </r>
  </si>
  <si>
    <r>
      <t xml:space="preserve">Indique qu'aucune donnée n'est à saisir à moins que certains </t>
    </r>
    <r>
      <rPr>
        <sz val="14"/>
        <rFont val="Aptos Narrow"/>
        <scheme val="minor"/>
      </rPr>
      <t>éléments</t>
    </r>
    <r>
      <rPr>
        <sz val="14"/>
        <color theme="1"/>
        <rFont val="Aptos Narrow"/>
        <family val="2"/>
        <scheme val="minor"/>
      </rPr>
      <t xml:space="preserve"> soient sélectionnés dans l'information elle-même. Dans ce cas, la cellule deviendra blanche. </t>
    </r>
  </si>
  <si>
    <t>Indique que la liste peut être développée en cliquant sur le bouton [+] à gauche, et que des lignes supplémentaires peuvent être ajoutées en faisant un clic droit sur la deuxième ligne et en sélectionnant "Insérer une ligne entière".</t>
  </si>
  <si>
    <t>3. Pour les tableaux dont le nombre de lignes n'est pas limité, comme par exemple la Liste des filiales/sites, veuillez développer le tableau en cliquant sur le bouton [+] sur le côté gauche. Si vous avez besoin de plus de lignes, ajoutez-les en les insérant entre la première et la dernière ligne. Dans ces tableaux, l'ID de chaque ligne doit être unique.</t>
  </si>
  <si>
    <t>4. Validez les données saisies en vérifiant le statut de validation. Si la validation est échouée, le rapport est considéré incomplet ou erroné, ce qui risque de produire un rapport XBRL non valide.</t>
  </si>
  <si>
    <t>5. Convertissez ce modèle en un rapport au format Inline XBRL (ou encore XBRL-JSON ou XBRL-CSV) en utilisant le convertisseur en ligne. Soyez attentifs à la validation XBRL effectuée par le validateur.</t>
  </si>
  <si>
    <t>6. L'entreprise peut aussi charger le rapport dans des registres publics en ligne ou sur une page web.</t>
  </si>
  <si>
    <r>
      <rPr>
        <b/>
        <sz val="11"/>
        <rFont val="Aptos Narrow"/>
        <scheme val="minor"/>
      </rPr>
      <t>Polluants</t>
    </r>
    <r>
      <rPr>
        <sz val="11"/>
        <color theme="1"/>
        <rFont val="Aptos Narrow"/>
        <scheme val="minor"/>
      </rPr>
      <t xml:space="preserve"> (Décision de la Commission du 3 mai 2000 remplaçant la décision 94/3/CE établissant une liste de déchets en application de l'article 1er, point a), de la directive 75/442/CEE du Conseil relative aux déchets et la décision 94/904/CE du Conseil établissant une liste de déchets dangereux en application de l'article 1er, paragraphe 4, de la directive 91/689/CEE du Conseil relative aux déchets dangereux [notifiée sous le numéro C(2000) 1147])</t>
    </r>
  </si>
  <si>
    <r>
      <rPr>
        <b/>
        <sz val="16"/>
        <color theme="1"/>
        <rFont val="Aptos Narrow"/>
        <family val="2"/>
        <scheme val="minor"/>
      </rPr>
      <t xml:space="preserve">L'objet de ce modèle est d'illustrer la façon dont les informations de durabilité peuvent être saisies dans un modèle numérique. Ce modèle se fonde sur la Norme VSME remise à la Commission européenne par l'EFRAG le 17 décembre 2024. Il est accompagné d'une taxonomie VSME XBRL qui répertorie les modèles de données numériques correspondant aux informations à fournir, et qui est disponible sur le site web de l'EFRAG. </t>
    </r>
    <r>
      <rPr>
        <sz val="16"/>
        <color theme="1"/>
        <rFont val="Aptos Narrow"/>
        <scheme val="minor"/>
      </rPr>
      <t>La Norme</t>
    </r>
    <r>
      <rPr>
        <sz val="16"/>
        <color theme="1"/>
        <rFont val="Aptos Narrow"/>
        <family val="2"/>
        <scheme val="minor"/>
      </rPr>
      <t xml:space="preserve"> VSME exige la publication d'informations comparatives portant sur des métriques (paragraphe 12). Ce modèle numérique VSME ne permet d'établir un rapport de durabilité que pour une seule période de référence. Il ne peut donc être utilisé que pour la première année de publication. De futures solutions de publication d'informations en matière de durabilité devraient permettre d'extrapoler d'une période de référence à l'autre, et donc de fournir automatiquement les informations comparatives nécessaires.
</t>
    </r>
    <r>
      <rPr>
        <b/>
        <sz val="16"/>
        <color theme="1"/>
        <rFont val="Aptos Narrow"/>
        <family val="2"/>
        <scheme val="minor"/>
      </rPr>
      <t xml:space="preserve">Ce modèle peut être utilisé pour saisir et valider des données. Grâce au convertisseur XBRL disponible sur le site web de l'EFRAG, il peut être sauvegardé sous la forme d'un rapport XBRL, un format gratuit et ouvert. Des plages nommées sont utilisées pour extraire les informations. Les cellules vides et qui ne comportent aucune valeur (texte ou numérique) ne seront pas considérées comme alimentées et ne seront pas incluses dans le rapport XBRL généré par le convertisseur XBRL. </t>
    </r>
    <r>
      <rPr>
        <sz val="16"/>
        <color theme="1"/>
        <rFont val="Aptos Narrow"/>
        <family val="2"/>
        <scheme val="minor"/>
      </rPr>
      <t xml:space="preserve">
Certaines listes déroulantes du modèle proposent plus de 100 éléments (par exemple les codes NACE à la cellule B1, la liste des polluants à la cellule B4, la liste des déchets à la cellule B7). Pour effectuer une recherche dans une liste, les utilisateurs peuvent simplement saisir le début de mots-clés dans la cellule.
</t>
    </r>
    <r>
      <rPr>
        <b/>
        <sz val="16"/>
        <color theme="1"/>
        <rFont val="Aptos Narrow"/>
        <family val="2"/>
        <scheme val="minor"/>
      </rPr>
      <t>Si une alerte de sécurité apparaît, veuillez cliquer sur "</t>
    </r>
    <r>
      <rPr>
        <b/>
        <i/>
        <sz val="16"/>
        <color theme="1"/>
        <rFont val="Aptos Narrow"/>
        <scheme val="minor"/>
      </rPr>
      <t>Enable Content</t>
    </r>
    <r>
      <rPr>
        <b/>
        <sz val="16"/>
        <color theme="1"/>
        <rFont val="Aptos Narrow"/>
        <family val="2"/>
        <scheme val="minor"/>
      </rPr>
      <t>" ("autoriser") pour permettre le calcul automatique des coordonnées GPS des sites listés sous l'indicateur B1. Aucun contenu en dehors de l'adresse saisie ne sera envoyé sur l'internet. Des informations sur le partage de contenus avec le prestataire peuvent être trouvées dans les documents intitulés "</t>
    </r>
    <r>
      <rPr>
        <b/>
        <i/>
        <sz val="16"/>
        <color theme="1"/>
        <rFont val="Aptos Narrow"/>
        <scheme val="minor"/>
      </rPr>
      <t>Nominatim Usage Policy (Geocoding Policy)</t>
    </r>
    <r>
      <rPr>
        <b/>
        <sz val="16"/>
        <color theme="1"/>
        <rFont val="Aptos Narrow"/>
        <family val="2"/>
        <scheme val="minor"/>
      </rPr>
      <t>" ("Politique de géolocalisation") et "</t>
    </r>
    <r>
      <rPr>
        <b/>
        <i/>
        <sz val="16"/>
        <color theme="1"/>
        <rFont val="Aptos Narrow"/>
        <scheme val="minor"/>
      </rPr>
      <t>Privacy Policy</t>
    </r>
    <r>
      <rPr>
        <b/>
        <sz val="16"/>
        <color theme="1"/>
        <rFont val="Aptos Narrow"/>
        <family val="2"/>
        <scheme val="minor"/>
      </rPr>
      <t xml:space="preserve">" (Politique en matière de confidentialité").
Tous les outils élaborés par le secrétariat de l'EFRAG sont diffusés gratuitement et au format ouvert (licence MIT), ce qui permettra à toute partie prenante de contribuer à leur amélioration et de les intégrer dans des solutions commerciales. Toutefois, conformément aux conditions de la licence, les fournisseurs de ces solutions commerciales doivent mentionner l'EFRAG. La licence MIT peut être consultée dans la feuille qui lui est consacrée. </t>
    </r>
  </si>
  <si>
    <t>Indique que le point de donnée (souvent une condition) ne sera pas inclus dans le rapport VSME et XBRL numérique. Ces cellules servent à faciliter la saisie des informations dans la mesure où elles conditionnent la pertinence de l'information ou permettent le calcul automatique de l'information. Si les cellules jaunes ne sont pas utilisées pour calculer une valeur, le total à déclarer peut être saisi manuellement en effaçant la formule.</t>
  </si>
  <si>
    <t>Traduction : Centre de traduction des ministères économiques et financiers</t>
  </si>
  <si>
    <t>m³ - mètre cube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</si>
</sst>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
    <numFmt numFmtId="165" formatCode="0.0000"/>
    <numFmt numFmtId="166" formatCode="0.000000000"/>
    <numFmt numFmtId="167" formatCode="0.0000000000000000000"/>
    <numFmt numFmtId="168" formatCode="0.000000000000"/>
    <numFmt numFmtId="169" formatCode="0.000000000000000000000"/>
    <numFmt numFmtId="170" formatCode="0.0000000"/>
    <numFmt numFmtId="171" formatCode="0.0000000000000"/>
  </numFmts>
  <fonts count="64" x14ac:knownFonts="1">
    <font>
      <sz val="11"/>
      <color theme="1"/>
      <name val="Aptos Narrow"/>
      <family val="2"/>
      <scheme val="minor"/>
    </font>
    <font>
      <sz val="11"/>
      <color theme="1"/>
      <name val="Aptos Narrow"/>
      <family val="2"/>
      <scheme val="minor"/>
    </font>
    <font>
      <b/>
      <sz val="11"/>
      <color theme="1"/>
      <name val="Aptos Narrow"/>
      <family val="2"/>
      <scheme val="minor"/>
    </font>
    <font>
      <sz val="8"/>
      <name val="Aptos Narrow"/>
      <family val="2"/>
      <scheme val="minor"/>
    </font>
    <font>
      <i/>
      <sz val="11"/>
      <color theme="1"/>
      <name val="Aptos Narrow"/>
      <family val="2"/>
      <scheme val="minor"/>
    </font>
    <font>
      <i/>
      <sz val="9"/>
      <color theme="1"/>
      <name val="Aptos Narrow"/>
      <family val="2"/>
      <scheme val="minor"/>
    </font>
    <font>
      <u/>
      <sz val="11"/>
      <color theme="10"/>
      <name val="Aptos Narrow"/>
      <family val="2"/>
      <scheme val="minor"/>
    </font>
    <font>
      <b/>
      <sz val="11"/>
      <name val="Aptos Narrow"/>
      <family val="2"/>
      <scheme val="minor"/>
    </font>
    <font>
      <b/>
      <sz val="11"/>
      <name val="Calibri"/>
      <family val="2"/>
    </font>
    <font>
      <sz val="11"/>
      <name val="Aptos Narrow"/>
      <family val="2"/>
      <scheme val="minor"/>
    </font>
    <font>
      <i/>
      <sz val="11"/>
      <name val="Aptos Narrow"/>
      <family val="2"/>
      <scheme val="minor"/>
    </font>
    <font>
      <u/>
      <sz val="11"/>
      <name val="Aptos Narrow"/>
      <family val="2"/>
      <scheme val="minor"/>
    </font>
    <font>
      <i/>
      <u/>
      <sz val="11"/>
      <name val="Aptos Narrow"/>
      <family val="2"/>
      <scheme val="minor"/>
    </font>
    <font>
      <sz val="11"/>
      <color theme="1"/>
      <name val="Aptos Narrow"/>
      <family val="2"/>
    </font>
    <font>
      <b/>
      <sz val="16"/>
      <color theme="1"/>
      <name val="Aptos Narrow"/>
      <family val="2"/>
    </font>
    <font>
      <sz val="48"/>
      <color theme="1"/>
      <name val="Aptos Narrow"/>
      <family val="2"/>
      <scheme val="minor"/>
    </font>
    <font>
      <sz val="10"/>
      <color theme="1"/>
      <name val="Aptos Narrow"/>
      <family val="2"/>
      <scheme val="minor"/>
    </font>
    <font>
      <sz val="11"/>
      <color rgb="FF1B1B1B"/>
      <name val="Aptos Narrow"/>
      <family val="2"/>
      <scheme val="minor"/>
    </font>
    <font>
      <sz val="14"/>
      <color theme="1"/>
      <name val="Aptos Narrow"/>
      <family val="2"/>
      <scheme val="minor"/>
    </font>
    <font>
      <sz val="16"/>
      <color theme="1"/>
      <name val="Aptos Narrow"/>
      <family val="2"/>
      <scheme val="minor"/>
    </font>
    <font>
      <b/>
      <sz val="11"/>
      <color theme="1"/>
      <name val="Aptos Narrow"/>
      <family val="2"/>
    </font>
    <font>
      <b/>
      <sz val="11"/>
      <color rgb="FFFF0000"/>
      <name val="Aptos Narrow"/>
      <family val="2"/>
      <scheme val="minor"/>
    </font>
    <font>
      <sz val="20"/>
      <color theme="1"/>
      <name val="Aptos Narrow"/>
      <family val="2"/>
      <scheme val="minor"/>
    </font>
    <font>
      <i/>
      <sz val="11"/>
      <color theme="1"/>
      <name val="Aptos Narrow"/>
      <family val="2"/>
    </font>
    <font>
      <b/>
      <i/>
      <sz val="11"/>
      <color theme="1"/>
      <name val="Aptos Narrow"/>
      <family val="2"/>
      <scheme val="minor"/>
    </font>
    <font>
      <i/>
      <sz val="10"/>
      <color theme="1"/>
      <name val="Aptos Narrow"/>
      <family val="2"/>
      <scheme val="minor"/>
    </font>
    <font>
      <b/>
      <sz val="16"/>
      <color theme="1"/>
      <name val="Aptos Narrow"/>
      <family val="2"/>
      <scheme val="minor"/>
    </font>
    <font>
      <u/>
      <sz val="16"/>
      <color theme="1"/>
      <name val="Aptos Narrow"/>
      <family val="2"/>
      <scheme val="minor"/>
    </font>
    <font>
      <b/>
      <sz val="12"/>
      <color rgb="FF242424"/>
      <name val="Aptos"/>
      <family val="2"/>
    </font>
    <font>
      <sz val="11"/>
      <name val="Calibri"/>
      <family val="2"/>
    </font>
    <font>
      <b/>
      <sz val="16"/>
      <color rgb="FF242424"/>
      <name val="Aptos"/>
      <family val="2"/>
    </font>
    <font>
      <b/>
      <u/>
      <sz val="11"/>
      <color rgb="FF0070C0"/>
      <name val="Aptos Narrow"/>
      <family val="2"/>
      <scheme val="minor"/>
    </font>
    <font>
      <sz val="16"/>
      <color rgb="FF242424"/>
      <name val="Aptos"/>
      <family val="2"/>
    </font>
    <font>
      <sz val="11"/>
      <color theme="10"/>
      <name val="Aptos Narrow"/>
      <family val="2"/>
      <scheme val="minor"/>
    </font>
    <font>
      <b/>
      <sz val="14"/>
      <color theme="1"/>
      <name val="Aptos Narrow"/>
      <family val="2"/>
      <scheme val="minor"/>
    </font>
    <font>
      <b/>
      <sz val="20"/>
      <color theme="1"/>
      <name val="Aptos Narrow"/>
      <family val="2"/>
      <scheme val="minor"/>
    </font>
    <font>
      <b/>
      <i/>
      <sz val="12"/>
      <color theme="1"/>
      <name val="Aptos Narrow"/>
      <family val="2"/>
      <scheme val="minor"/>
    </font>
    <font>
      <i/>
      <u/>
      <sz val="11"/>
      <color theme="3" tint="0.499984740745262"/>
      <name val="Aptos Narrow"/>
      <family val="2"/>
      <scheme val="minor"/>
    </font>
    <font>
      <u/>
      <sz val="11"/>
      <color theme="3" tint="0.499984740745262"/>
      <name val="Aptos Narrow"/>
      <family val="2"/>
      <scheme val="minor"/>
    </font>
    <font>
      <b/>
      <i/>
      <sz val="16"/>
      <color theme="1"/>
      <name val="Aptos Narrow"/>
      <scheme val="minor"/>
    </font>
    <font>
      <u/>
      <vertAlign val="subscript"/>
      <sz val="11"/>
      <color theme="10"/>
      <name val="Aptos Narrow"/>
      <scheme val="minor"/>
    </font>
    <font>
      <b/>
      <sz val="11"/>
      <color theme="1"/>
      <name val="Aptos Narrow"/>
      <scheme val="minor"/>
    </font>
    <font>
      <sz val="11"/>
      <color theme="1"/>
      <name val="Arial"/>
      <family val="2"/>
    </font>
    <font>
      <b/>
      <sz val="16"/>
      <color rgb="FF242424"/>
      <name val="Aptos"/>
    </font>
    <font>
      <b/>
      <sz val="16"/>
      <color rgb="FF242424"/>
      <name val="Aptos Display"/>
      <scheme val="major"/>
    </font>
    <font>
      <b/>
      <sz val="11"/>
      <color theme="1"/>
      <name val="Calibri"/>
      <family val="2"/>
    </font>
    <font>
      <b/>
      <sz val="11"/>
      <color theme="1"/>
      <name val="Aptos Display"/>
    </font>
    <font>
      <sz val="11"/>
      <color theme="1"/>
      <name val="Calibri"/>
      <family val="2"/>
    </font>
    <font>
      <sz val="11"/>
      <color theme="1"/>
      <name val="Aptos Display"/>
    </font>
    <font>
      <sz val="16"/>
      <color theme="1"/>
      <name val="Aptos Narrow"/>
      <scheme val="minor"/>
    </font>
    <font>
      <i/>
      <sz val="11"/>
      <color theme="1"/>
      <name val="Aptos Narrow"/>
      <scheme val="minor"/>
    </font>
    <font>
      <i/>
      <vertAlign val="superscript"/>
      <sz val="11"/>
      <color theme="1"/>
      <name val="Aptos Narrow"/>
      <scheme val="minor"/>
    </font>
    <font>
      <sz val="11"/>
      <color theme="1"/>
      <name val="Symbol"/>
      <family val="1"/>
      <charset val="2"/>
    </font>
    <font>
      <sz val="11"/>
      <color theme="1"/>
      <name val="Aptos Narrow"/>
      <family val="1"/>
      <charset val="2"/>
    </font>
    <font>
      <sz val="11"/>
      <color theme="1"/>
      <name val="Aptos Narrow"/>
      <family val="1"/>
      <charset val="2"/>
      <scheme val="minor"/>
    </font>
    <font>
      <vertAlign val="superscript"/>
      <sz val="11"/>
      <color theme="1"/>
      <name val="Aptos Narrow"/>
      <scheme val="minor"/>
    </font>
    <font>
      <sz val="11"/>
      <color theme="1"/>
      <name val="Aptos Narrow"/>
      <scheme val="minor"/>
    </font>
    <font>
      <b/>
      <sz val="11"/>
      <color theme="1"/>
      <name val="Arial Narrow"/>
      <family val="2"/>
    </font>
    <font>
      <sz val="16"/>
      <color rgb="FF242424"/>
      <name val="Aptos"/>
    </font>
    <font>
      <sz val="14"/>
      <name val="Aptos Narrow"/>
      <scheme val="minor"/>
    </font>
    <font>
      <u/>
      <sz val="11"/>
      <color rgb="FF0070C0"/>
      <name val="Aptos Narrow"/>
      <scheme val="minor"/>
    </font>
    <font>
      <sz val="11"/>
      <name val="Aptos Narrow"/>
      <scheme val="minor"/>
    </font>
    <font>
      <sz val="11"/>
      <color theme="1"/>
      <name val="Aptos Display"/>
      <scheme val="major"/>
    </font>
    <font>
      <b/>
      <sz val="11"/>
      <name val="Aptos Narrow"/>
      <scheme val="minor"/>
    </font>
  </fonts>
  <fills count="23">
    <fill>
      <patternFill patternType="none"/>
    </fill>
    <fill>
      <patternFill patternType="gray125"/>
    </fill>
    <fill>
      <patternFill patternType="solid">
        <fgColor theme="0" tint="-0.14996795556505021"/>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0"/>
        <bgColor theme="4"/>
      </patternFill>
    </fill>
    <fill>
      <patternFill patternType="solid">
        <fgColor rgb="FF00B050"/>
        <bgColor indexed="64"/>
      </patternFill>
    </fill>
    <fill>
      <patternFill patternType="solid">
        <fgColor rgb="FFFF0000"/>
        <bgColor indexed="64"/>
      </patternFill>
    </fill>
    <fill>
      <patternFill patternType="solid">
        <fgColor rgb="FFFFFFFF"/>
        <bgColor indexed="64"/>
      </patternFill>
    </fill>
    <fill>
      <patternFill patternType="solid">
        <fgColor rgb="FFB5E6A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E97132"/>
        <bgColor indexed="64"/>
      </patternFill>
    </fill>
    <fill>
      <patternFill patternType="solid">
        <fgColor rgb="FFF7F7CB"/>
        <bgColor indexed="64"/>
      </patternFill>
    </fill>
    <fill>
      <patternFill patternType="solid">
        <fgColor theme="0" tint="-0.499984740745262"/>
        <bgColor indexed="64"/>
      </patternFill>
    </fill>
    <fill>
      <patternFill patternType="solid">
        <fgColor theme="2"/>
        <bgColor indexed="64"/>
      </patternFill>
    </fill>
    <fill>
      <patternFill patternType="solid">
        <fgColor rgb="FFFFFF99"/>
        <bgColor indexed="64"/>
      </patternFill>
    </fill>
    <fill>
      <patternFill patternType="solid">
        <fgColor theme="5" tint="0.79998168889431442"/>
        <bgColor indexed="64"/>
      </patternFill>
    </fill>
    <fill>
      <patternFill patternType="solid">
        <fgColor theme="7" tint="0.39997558519241921"/>
        <bgColor indexed="64"/>
      </patternFill>
    </fill>
    <fill>
      <patternFill patternType="solid">
        <fgColor rgb="FFFFFF00"/>
        <bgColor indexed="64"/>
      </patternFill>
    </fill>
  </fills>
  <borders count="9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diagonalUp="1" diagonalDown="1">
      <left style="thin">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ck">
        <color indexed="64"/>
      </right>
      <top style="thick">
        <color indexed="64"/>
      </top>
      <bottom style="thick">
        <color indexed="64"/>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top style="medium">
        <color indexed="64"/>
      </top>
      <bottom style="medium">
        <color indexed="64"/>
      </bottom>
      <diagonal/>
    </border>
    <border diagonalUp="1" diagonalDown="1">
      <left style="medium">
        <color indexed="64"/>
      </left>
      <right style="thin">
        <color indexed="64"/>
      </right>
      <top style="thin">
        <color indexed="64"/>
      </top>
      <bottom style="thin">
        <color indexed="64"/>
      </bottom>
      <diagonal style="thin">
        <color indexed="64"/>
      </diagonal>
    </border>
    <border diagonalUp="1" diagonalDown="1">
      <left style="medium">
        <color indexed="64"/>
      </left>
      <right style="thin">
        <color indexed="64"/>
      </right>
      <top/>
      <bottom style="thin">
        <color indexed="64"/>
      </bottom>
      <diagonal style="thin">
        <color indexed="64"/>
      </diagonal>
    </border>
    <border diagonalUp="1" diagonalDown="1">
      <left style="thin">
        <color indexed="64"/>
      </left>
      <right style="thin">
        <color indexed="64"/>
      </right>
      <top/>
      <bottom style="thin">
        <color indexed="64"/>
      </bottom>
      <diagonal style="thin">
        <color indexed="64"/>
      </diagonal>
    </border>
    <border diagonalUp="1" diagonalDown="1">
      <left style="thin">
        <color indexed="64"/>
      </left>
      <right style="medium">
        <color indexed="64"/>
      </right>
      <top style="medium">
        <color indexed="64"/>
      </top>
      <bottom style="thin">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diagonal/>
    </border>
    <border diagonalUp="1" diagonalDown="1">
      <left style="medium">
        <color indexed="64"/>
      </left>
      <right/>
      <top style="medium">
        <color indexed="64"/>
      </top>
      <bottom style="thin">
        <color indexed="64"/>
      </bottom>
      <diagonal style="thin">
        <color indexed="64"/>
      </diagonal>
    </border>
    <border diagonalUp="1" diagonalDown="1">
      <left/>
      <right/>
      <top style="medium">
        <color indexed="64"/>
      </top>
      <bottom style="thin">
        <color indexed="64"/>
      </bottom>
      <diagonal style="thin">
        <color indexed="64"/>
      </diagonal>
    </border>
    <border diagonalUp="1" diagonalDown="1">
      <left/>
      <right style="medium">
        <color indexed="64"/>
      </right>
      <top style="medium">
        <color indexed="64"/>
      </top>
      <bottom style="thin">
        <color indexed="64"/>
      </bottom>
      <diagonal style="thin">
        <color indexed="64"/>
      </diagonal>
    </border>
    <border diagonalUp="1" diagonalDown="1">
      <left style="thin">
        <color indexed="64"/>
      </left>
      <right style="medium">
        <color indexed="64"/>
      </right>
      <top style="thin">
        <color indexed="64"/>
      </top>
      <bottom/>
      <diagonal style="thin">
        <color indexed="64"/>
      </diagonal>
    </border>
    <border>
      <left style="medium">
        <color indexed="64"/>
      </left>
      <right style="thin">
        <color indexed="64"/>
      </right>
      <top/>
      <bottom/>
      <diagonal/>
    </border>
    <border>
      <left style="thin">
        <color indexed="64"/>
      </left>
      <right/>
      <top style="medium">
        <color indexed="64"/>
      </top>
      <bottom/>
      <diagonal/>
    </border>
    <border>
      <left style="medium">
        <color indexed="64"/>
      </left>
      <right style="medium">
        <color indexed="64"/>
      </right>
      <top/>
      <bottom/>
      <diagonal/>
    </border>
  </borders>
  <cellStyleXfs count="4">
    <xf numFmtId="0" fontId="0" fillId="0" borderId="0"/>
    <xf numFmtId="9" fontId="1" fillId="0" borderId="0" applyFont="0" applyFill="0" applyBorder="0" applyAlignment="0" applyProtection="0"/>
    <xf numFmtId="2" fontId="1" fillId="2" borderId="1"/>
    <xf numFmtId="0" fontId="6" fillId="0" borderId="0" applyNumberFormat="0" applyFill="0" applyBorder="0" applyAlignment="0" applyProtection="0"/>
  </cellStyleXfs>
  <cellXfs count="1152">
    <xf numFmtId="0" fontId="0" fillId="0" borderId="0" xfId="0"/>
    <xf numFmtId="0" fontId="0" fillId="0" borderId="1" xfId="0" applyBorder="1"/>
    <xf numFmtId="0" fontId="0" fillId="0" borderId="0" xfId="0" applyAlignment="1">
      <alignment wrapText="1"/>
    </xf>
    <xf numFmtId="0" fontId="0" fillId="0" borderId="18" xfId="0" applyBorder="1"/>
    <xf numFmtId="0" fontId="0" fillId="0" borderId="19" xfId="0" applyBorder="1"/>
    <xf numFmtId="0" fontId="2" fillId="0" borderId="1" xfId="0" applyFont="1" applyBorder="1" applyAlignment="1">
      <alignment horizontal="center" vertical="center"/>
    </xf>
    <xf numFmtId="0" fontId="0" fillId="0" borderId="25" xfId="0" applyBorder="1"/>
    <xf numFmtId="0" fontId="0" fillId="0" borderId="0" xfId="0" applyAlignment="1">
      <alignment horizontal="left" vertical="top"/>
    </xf>
    <xf numFmtId="0" fontId="0" fillId="7" borderId="0" xfId="0" applyFill="1"/>
    <xf numFmtId="0" fontId="2" fillId="0" borderId="0" xfId="0" applyFont="1" applyAlignment="1">
      <alignment horizontal="center" vertical="center" wrapText="1"/>
    </xf>
    <xf numFmtId="0" fontId="0" fillId="0" borderId="22" xfId="0" applyBorder="1"/>
    <xf numFmtId="0" fontId="0" fillId="0" borderId="30" xfId="0" applyBorder="1"/>
    <xf numFmtId="0" fontId="0" fillId="0" borderId="29" xfId="0" applyBorder="1"/>
    <xf numFmtId="0" fontId="2" fillId="7" borderId="0" xfId="0" applyFont="1" applyFill="1" applyAlignment="1">
      <alignment horizontal="center" vertical="center"/>
    </xf>
    <xf numFmtId="0" fontId="0" fillId="0" borderId="49" xfId="0" applyBorder="1"/>
    <xf numFmtId="0" fontId="2" fillId="0" borderId="0" xfId="0" applyFont="1" applyAlignment="1">
      <alignment horizontal="center" vertical="center"/>
    </xf>
    <xf numFmtId="0" fontId="2" fillId="0" borderId="0" xfId="0" applyFont="1" applyAlignment="1">
      <alignment horizontal="center"/>
    </xf>
    <xf numFmtId="0" fontId="2" fillId="7" borderId="0" xfId="0" applyFont="1" applyFill="1" applyAlignment="1">
      <alignment horizontal="center"/>
    </xf>
    <xf numFmtId="0" fontId="0" fillId="7" borderId="0" xfId="0" applyFill="1" applyAlignment="1">
      <alignment horizontal="center" vertical="center"/>
    </xf>
    <xf numFmtId="2" fontId="1" fillId="13" borderId="58" xfId="2" applyFill="1" applyBorder="1" applyAlignment="1">
      <alignment horizontal="center" vertical="center"/>
    </xf>
    <xf numFmtId="0" fontId="2" fillId="7" borderId="0" xfId="0" applyFont="1" applyFill="1"/>
    <xf numFmtId="166" fontId="1" fillId="13" borderId="71" xfId="2" applyNumberFormat="1" applyFill="1" applyBorder="1" applyAlignment="1">
      <alignment horizontal="center" vertical="center"/>
    </xf>
    <xf numFmtId="165" fontId="1" fillId="13" borderId="71" xfId="2" applyNumberFormat="1" applyFill="1" applyBorder="1" applyAlignment="1">
      <alignment horizontal="center" vertical="center"/>
    </xf>
    <xf numFmtId="165" fontId="1" fillId="7" borderId="34" xfId="2" applyNumberFormat="1" applyFill="1" applyBorder="1" applyAlignment="1">
      <alignment horizontal="center" vertical="center"/>
    </xf>
    <xf numFmtId="167" fontId="1" fillId="13" borderId="71" xfId="2" applyNumberFormat="1" applyFill="1" applyBorder="1" applyAlignment="1">
      <alignment horizontal="center" vertical="center"/>
    </xf>
    <xf numFmtId="0" fontId="2" fillId="0" borderId="71" xfId="0" applyFont="1" applyBorder="1"/>
    <xf numFmtId="0" fontId="2" fillId="0" borderId="71" xfId="0" applyFont="1" applyBorder="1" applyAlignment="1">
      <alignment horizontal="center" vertical="center" wrapText="1"/>
    </xf>
    <xf numFmtId="0" fontId="0" fillId="0" borderId="0" xfId="0" quotePrefix="1"/>
    <xf numFmtId="0" fontId="0" fillId="18" borderId="33" xfId="0" applyFill="1" applyBorder="1" applyAlignment="1">
      <alignment horizontal="center"/>
    </xf>
    <xf numFmtId="0" fontId="0" fillId="18" borderId="34" xfId="0" applyFill="1" applyBorder="1" applyAlignment="1">
      <alignment horizontal="center"/>
    </xf>
    <xf numFmtId="0" fontId="0" fillId="7" borderId="25" xfId="0" applyFill="1" applyBorder="1"/>
    <xf numFmtId="14" fontId="0" fillId="0" borderId="0" xfId="0" applyNumberFormat="1"/>
    <xf numFmtId="0" fontId="2" fillId="0" borderId="71" xfId="0" applyFont="1" applyBorder="1" applyAlignment="1">
      <alignment horizontal="center"/>
    </xf>
    <xf numFmtId="0" fontId="2" fillId="0" borderId="11" xfId="0" applyFont="1" applyBorder="1" applyAlignment="1">
      <alignment horizontal="center" vertical="center" wrapText="1"/>
    </xf>
    <xf numFmtId="0" fontId="0" fillId="7" borderId="46" xfId="0" applyFill="1" applyBorder="1"/>
    <xf numFmtId="0" fontId="0" fillId="7" borderId="5" xfId="0" applyFill="1" applyBorder="1"/>
    <xf numFmtId="0" fontId="0" fillId="7" borderId="53" xfId="0" applyFill="1" applyBorder="1"/>
    <xf numFmtId="0" fontId="2" fillId="0" borderId="63" xfId="0" applyFont="1" applyBorder="1" applyAlignment="1">
      <alignment horizontal="center"/>
    </xf>
    <xf numFmtId="0" fontId="0" fillId="7" borderId="54" xfId="0" applyFill="1" applyBorder="1"/>
    <xf numFmtId="0" fontId="2" fillId="7" borderId="55" xfId="0" applyFont="1" applyFill="1" applyBorder="1" applyAlignment="1">
      <alignment horizontal="center"/>
    </xf>
    <xf numFmtId="0" fontId="0" fillId="7" borderId="55" xfId="0" applyFill="1" applyBorder="1"/>
    <xf numFmtId="0" fontId="0" fillId="0" borderId="55" xfId="0" applyBorder="1"/>
    <xf numFmtId="0" fontId="2" fillId="0" borderId="9" xfId="0" applyFont="1" applyBorder="1" applyAlignment="1">
      <alignment horizontal="center"/>
    </xf>
    <xf numFmtId="166" fontId="2" fillId="13" borderId="63" xfId="2" applyNumberFormat="1" applyFont="1" applyFill="1" applyBorder="1" applyAlignment="1">
      <alignment horizontal="center" vertical="center"/>
    </xf>
    <xf numFmtId="166" fontId="0" fillId="13" borderId="71" xfId="2" applyNumberFormat="1" applyFont="1" applyFill="1" applyBorder="1" applyAlignment="1">
      <alignment horizontal="center" vertical="center"/>
    </xf>
    <xf numFmtId="0" fontId="0" fillId="0" borderId="39" xfId="0" applyBorder="1"/>
    <xf numFmtId="164" fontId="0" fillId="7" borderId="0" xfId="0" applyNumberFormat="1" applyFill="1"/>
    <xf numFmtId="0" fontId="26" fillId="7" borderId="75" xfId="0" applyFont="1" applyFill="1" applyBorder="1"/>
    <xf numFmtId="0" fontId="0" fillId="0" borderId="11" xfId="0" applyBorder="1" applyAlignment="1" applyProtection="1">
      <alignment horizontal="left"/>
      <protection locked="0"/>
    </xf>
    <xf numFmtId="0" fontId="0" fillId="0" borderId="11" xfId="0" applyBorder="1" applyAlignment="1" applyProtection="1">
      <alignment vertical="center"/>
      <protection locked="0"/>
    </xf>
    <xf numFmtId="0" fontId="0" fillId="6" borderId="11" xfId="0" applyFill="1" applyBorder="1" applyAlignment="1" applyProtection="1">
      <alignment horizontal="center" vertical="center" wrapText="1"/>
      <protection locked="0"/>
    </xf>
    <xf numFmtId="0" fontId="0" fillId="6" borderId="51" xfId="0" applyFill="1" applyBorder="1" applyAlignment="1" applyProtection="1">
      <alignment horizontal="center" vertical="center" wrapText="1"/>
      <protection locked="0"/>
    </xf>
    <xf numFmtId="0" fontId="0" fillId="0" borderId="11" xfId="0" applyBorder="1" applyAlignment="1" applyProtection="1">
      <alignment horizontal="right" vertical="center" wrapText="1"/>
      <protection locked="0"/>
    </xf>
    <xf numFmtId="0" fontId="0" fillId="0" borderId="11" xfId="0" applyBorder="1" applyAlignment="1" applyProtection="1">
      <alignment horizontal="right" wrapText="1"/>
      <protection locked="0"/>
    </xf>
    <xf numFmtId="0" fontId="0" fillId="6" borderId="11" xfId="0" applyFill="1" applyBorder="1" applyAlignment="1" applyProtection="1">
      <alignment horizontal="right"/>
      <protection locked="0"/>
    </xf>
    <xf numFmtId="0" fontId="0" fillId="0" borderId="11" xfId="0" applyBorder="1" applyAlignment="1" applyProtection="1">
      <alignment horizontal="left" vertical="center" wrapText="1"/>
      <protection locked="0"/>
    </xf>
    <xf numFmtId="2" fontId="0" fillId="0" borderId="11" xfId="0" applyNumberFormat="1" applyBorder="1" applyAlignment="1" applyProtection="1">
      <alignment horizontal="right" wrapText="1"/>
      <protection locked="0"/>
    </xf>
    <xf numFmtId="2" fontId="0" fillId="0" borderId="11" xfId="0" applyNumberFormat="1" applyBorder="1" applyAlignment="1" applyProtection="1">
      <alignment horizontal="right"/>
      <protection locked="0"/>
    </xf>
    <xf numFmtId="0" fontId="0" fillId="0" borderId="14" xfId="0" applyBorder="1" applyAlignment="1" applyProtection="1">
      <alignment horizontal="right" wrapText="1"/>
      <protection locked="0"/>
    </xf>
    <xf numFmtId="0" fontId="0" fillId="6" borderId="20" xfId="0" applyFill="1" applyBorder="1" applyProtection="1">
      <protection locked="0"/>
    </xf>
    <xf numFmtId="0" fontId="0" fillId="6" borderId="14" xfId="0" applyFill="1" applyBorder="1" applyProtection="1">
      <protection locked="0"/>
    </xf>
    <xf numFmtId="0" fontId="0" fillId="6" borderId="43" xfId="0" applyFill="1" applyBorder="1" applyProtection="1">
      <protection locked="0"/>
    </xf>
    <xf numFmtId="0" fontId="0" fillId="6" borderId="44" xfId="0" applyFill="1" applyBorder="1" applyProtection="1">
      <protection locked="0"/>
    </xf>
    <xf numFmtId="0" fontId="0" fillId="6" borderId="2" xfId="0" applyFill="1" applyBorder="1" applyProtection="1">
      <protection locked="0"/>
    </xf>
    <xf numFmtId="0" fontId="0" fillId="6" borderId="11" xfId="0" applyFill="1" applyBorder="1" applyProtection="1">
      <protection locked="0"/>
    </xf>
    <xf numFmtId="0" fontId="0" fillId="6" borderId="37" xfId="0" applyFill="1" applyBorder="1" applyProtection="1">
      <protection locked="0"/>
    </xf>
    <xf numFmtId="0" fontId="0" fillId="0" borderId="1" xfId="0" applyBorder="1" applyProtection="1">
      <protection locked="0"/>
    </xf>
    <xf numFmtId="49" fontId="0" fillId="0" borderId="1" xfId="0" applyNumberFormat="1" applyBorder="1" applyAlignment="1" applyProtection="1">
      <alignment horizontal="left"/>
      <protection locked="0"/>
    </xf>
    <xf numFmtId="0" fontId="0" fillId="0" borderId="2" xfId="0" applyBorder="1" applyAlignment="1" applyProtection="1">
      <alignment wrapText="1"/>
      <protection locked="0"/>
    </xf>
    <xf numFmtId="0" fontId="0" fillId="0" borderId="6" xfId="0" applyBorder="1" applyProtection="1">
      <protection locked="0"/>
    </xf>
    <xf numFmtId="49" fontId="0" fillId="0" borderId="6" xfId="0" applyNumberFormat="1" applyBorder="1" applyAlignment="1" applyProtection="1">
      <alignment horizontal="left"/>
      <protection locked="0"/>
    </xf>
    <xf numFmtId="0" fontId="0" fillId="0" borderId="43" xfId="0" applyBorder="1" applyAlignment="1" applyProtection="1">
      <alignment wrapText="1"/>
      <protection locked="0"/>
    </xf>
    <xf numFmtId="0" fontId="0" fillId="0" borderId="20" xfId="0" applyBorder="1" applyProtection="1">
      <protection locked="0"/>
    </xf>
    <xf numFmtId="49" fontId="0" fillId="0" borderId="20" xfId="0" applyNumberFormat="1" applyBorder="1" applyAlignment="1" applyProtection="1">
      <alignment horizontal="left"/>
      <protection locked="0"/>
    </xf>
    <xf numFmtId="0" fontId="0" fillId="0" borderId="37" xfId="0" applyBorder="1" applyAlignment="1" applyProtection="1">
      <alignment wrapText="1"/>
      <protection locked="0"/>
    </xf>
    <xf numFmtId="0" fontId="0" fillId="0" borderId="48" xfId="0" applyBorder="1" applyProtection="1">
      <protection locked="0"/>
    </xf>
    <xf numFmtId="49" fontId="0" fillId="0" borderId="48" xfId="0" applyNumberFormat="1" applyBorder="1" applyAlignment="1" applyProtection="1">
      <alignment horizontal="left"/>
      <protection locked="0"/>
    </xf>
    <xf numFmtId="0" fontId="0" fillId="0" borderId="46" xfId="0" applyBorder="1" applyAlignment="1" applyProtection="1">
      <alignment wrapText="1"/>
      <protection locked="0"/>
    </xf>
    <xf numFmtId="0" fontId="28" fillId="7" borderId="0" xfId="0" applyFont="1" applyFill="1" applyAlignment="1">
      <alignment horizontal="left" wrapText="1"/>
    </xf>
    <xf numFmtId="0" fontId="0" fillId="7" borderId="41" xfId="0" applyFill="1" applyBorder="1"/>
    <xf numFmtId="2" fontId="0" fillId="16" borderId="71" xfId="0" applyNumberFormat="1" applyFill="1" applyBorder="1" applyAlignment="1">
      <alignment horizontal="center"/>
    </xf>
    <xf numFmtId="0" fontId="26" fillId="0" borderId="71" xfId="0" applyFont="1" applyBorder="1" applyAlignment="1">
      <alignment horizontal="left" vertical="center"/>
    </xf>
    <xf numFmtId="0" fontId="2" fillId="0" borderId="33" xfId="0" applyFont="1" applyBorder="1"/>
    <xf numFmtId="0" fontId="0" fillId="0" borderId="1" xfId="0" applyBorder="1" applyAlignment="1">
      <alignment horizontal="center" vertical="center" wrapText="1"/>
    </xf>
    <xf numFmtId="0" fontId="2" fillId="0" borderId="25" xfId="0" applyFont="1" applyBorder="1" applyAlignment="1">
      <alignment horizontal="center" vertical="center" wrapText="1"/>
    </xf>
    <xf numFmtId="0" fontId="2" fillId="7" borderId="25" xfId="0" applyFont="1" applyFill="1" applyBorder="1" applyAlignment="1">
      <alignment horizontal="center" vertical="center"/>
    </xf>
    <xf numFmtId="0" fontId="9" fillId="0" borderId="0" xfId="0" applyFont="1"/>
    <xf numFmtId="0" fontId="0" fillId="0" borderId="0" xfId="0" applyAlignment="1">
      <alignment horizontal="left"/>
    </xf>
    <xf numFmtId="0" fontId="1" fillId="0" borderId="0" xfId="2" applyNumberFormat="1" applyFill="1" applyBorder="1" applyAlignment="1">
      <alignment horizontal="center"/>
    </xf>
    <xf numFmtId="0" fontId="11" fillId="0" borderId="0" xfId="3" applyFont="1" applyProtection="1"/>
    <xf numFmtId="0" fontId="10" fillId="0" borderId="0" xfId="0" applyFont="1"/>
    <xf numFmtId="0" fontId="9" fillId="0" borderId="0" xfId="0" applyFont="1" applyAlignment="1">
      <alignment horizontal="center" vertical="center"/>
    </xf>
    <xf numFmtId="0" fontId="0" fillId="0" borderId="25" xfId="0" applyBorder="1" applyAlignment="1">
      <alignment wrapText="1"/>
    </xf>
    <xf numFmtId="0" fontId="0" fillId="0" borderId="11" xfId="0" applyBorder="1"/>
    <xf numFmtId="0" fontId="0" fillId="0" borderId="0" xfId="0" applyAlignment="1">
      <alignment horizontal="center" vertical="center" wrapText="1"/>
    </xf>
    <xf numFmtId="164" fontId="0" fillId="7" borderId="0" xfId="0" applyNumberFormat="1" applyFill="1" applyAlignment="1">
      <alignment wrapText="1"/>
    </xf>
    <xf numFmtId="0" fontId="0" fillId="0" borderId="18" xfId="0" applyBorder="1" applyAlignment="1">
      <alignment horizontal="left" vertical="top" wrapText="1"/>
    </xf>
    <xf numFmtId="0" fontId="0" fillId="0" borderId="18" xfId="0" applyBorder="1" applyAlignment="1">
      <alignment horizontal="left" vertical="center" wrapText="1"/>
    </xf>
    <xf numFmtId="0" fontId="0" fillId="0" borderId="10" xfId="0" applyBorder="1" applyAlignment="1">
      <alignment horizontal="left" vertical="center" wrapText="1"/>
    </xf>
    <xf numFmtId="0" fontId="2" fillId="0" borderId="19" xfId="0" applyFont="1" applyBorder="1" applyAlignment="1">
      <alignment horizontal="left" vertical="center" wrapText="1"/>
    </xf>
    <xf numFmtId="0" fontId="4" fillId="19" borderId="18" xfId="0" applyFont="1" applyFill="1" applyBorder="1" applyAlignment="1">
      <alignment horizontal="left" vertical="center" wrapText="1"/>
    </xf>
    <xf numFmtId="2" fontId="2" fillId="0" borderId="6" xfId="0" applyNumberFormat="1" applyFont="1" applyBorder="1" applyAlignment="1">
      <alignment horizontal="center" vertical="center"/>
    </xf>
    <xf numFmtId="2" fontId="2" fillId="0" borderId="44" xfId="0" applyNumberFormat="1" applyFont="1" applyBorder="1" applyAlignment="1">
      <alignment horizontal="center" vertical="center" wrapText="1"/>
    </xf>
    <xf numFmtId="0" fontId="2" fillId="0" borderId="25" xfId="0" applyFont="1" applyBorder="1" applyAlignment="1">
      <alignment horizontal="center" vertical="center"/>
    </xf>
    <xf numFmtId="0" fontId="4" fillId="7" borderId="70" xfId="0" applyFont="1" applyFill="1" applyBorder="1"/>
    <xf numFmtId="0" fontId="4" fillId="7" borderId="80" xfId="0" applyFont="1" applyFill="1" applyBorder="1"/>
    <xf numFmtId="0" fontId="2" fillId="0" borderId="11" xfId="0" applyFont="1" applyBorder="1" applyAlignment="1">
      <alignment horizontal="center" vertical="center"/>
    </xf>
    <xf numFmtId="0" fontId="4" fillId="7" borderId="66" xfId="0" applyFont="1" applyFill="1" applyBorder="1"/>
    <xf numFmtId="9" fontId="1" fillId="13" borderId="11" xfId="1" applyFill="1" applyBorder="1" applyAlignment="1" applyProtection="1">
      <alignment horizontal="right"/>
    </xf>
    <xf numFmtId="0" fontId="4" fillId="7" borderId="83" xfId="0" applyFont="1" applyFill="1" applyBorder="1"/>
    <xf numFmtId="9" fontId="0" fillId="7" borderId="89" xfId="1" applyFont="1" applyFill="1" applyBorder="1" applyAlignment="1" applyProtection="1">
      <alignment horizontal="right"/>
    </xf>
    <xf numFmtId="0" fontId="0" fillId="4" borderId="19" xfId="0" applyFill="1" applyBorder="1"/>
    <xf numFmtId="0" fontId="0" fillId="0" borderId="19" xfId="0" applyBorder="1" applyAlignment="1">
      <alignment wrapText="1"/>
    </xf>
    <xf numFmtId="0" fontId="5" fillId="0" borderId="0" xfId="0" applyFont="1" applyAlignment="1">
      <alignment horizontal="center"/>
    </xf>
    <xf numFmtId="0" fontId="0" fillId="0" borderId="18" xfId="0" applyBorder="1" applyAlignment="1">
      <alignment vertical="top" wrapText="1"/>
    </xf>
    <xf numFmtId="0" fontId="0" fillId="0" borderId="19" xfId="0" applyBorder="1" applyAlignment="1">
      <alignment vertical="top" wrapText="1"/>
    </xf>
    <xf numFmtId="0" fontId="2" fillId="0" borderId="18" xfId="0" applyFont="1" applyBorder="1" applyAlignment="1">
      <alignment horizontal="center" vertical="center"/>
    </xf>
    <xf numFmtId="0" fontId="2" fillId="0" borderId="0" xfId="0" applyFont="1"/>
    <xf numFmtId="0" fontId="0" fillId="0" borderId="34" xfId="0" applyBorder="1"/>
    <xf numFmtId="0" fontId="2" fillId="0" borderId="7" xfId="0" applyFont="1" applyBorder="1" applyAlignment="1">
      <alignment horizontal="center" vertical="center" wrapText="1"/>
    </xf>
    <xf numFmtId="0" fontId="0" fillId="0" borderId="12" xfId="0" applyBorder="1"/>
    <xf numFmtId="0" fontId="0" fillId="0" borderId="0" xfId="0" applyAlignment="1">
      <alignment vertical="center"/>
    </xf>
    <xf numFmtId="0" fontId="2" fillId="0" borderId="18" xfId="0" applyFont="1" applyBorder="1" applyAlignment="1">
      <alignment vertical="center" wrapText="1"/>
    </xf>
    <xf numFmtId="0" fontId="0" fillId="0" borderId="10" xfId="0" applyBorder="1" applyAlignment="1">
      <alignment wrapText="1"/>
    </xf>
    <xf numFmtId="0" fontId="0" fillId="0" borderId="0" xfId="0" applyAlignment="1">
      <alignment horizontal="center" vertical="center"/>
    </xf>
    <xf numFmtId="0" fontId="0" fillId="0" borderId="18" xfId="0" applyBorder="1" applyAlignment="1">
      <alignment wrapText="1"/>
    </xf>
    <xf numFmtId="0" fontId="12" fillId="7" borderId="0" xfId="3" applyFont="1" applyFill="1" applyBorder="1" applyAlignment="1" applyProtection="1">
      <alignment horizontal="center" vertical="center"/>
    </xf>
    <xf numFmtId="0" fontId="12" fillId="7" borderId="0" xfId="3" applyFont="1" applyFill="1" applyBorder="1" applyAlignment="1" applyProtection="1">
      <alignment horizontal="center" vertical="center" wrapText="1"/>
    </xf>
    <xf numFmtId="0" fontId="0" fillId="0" borderId="12" xfId="0" applyBorder="1" applyAlignment="1">
      <alignment horizontal="left" vertical="center" wrapText="1"/>
    </xf>
    <xf numFmtId="2" fontId="2" fillId="0" borderId="0" xfId="0" applyNumberFormat="1" applyFont="1" applyAlignment="1">
      <alignment horizontal="center" vertical="center"/>
    </xf>
    <xf numFmtId="0" fontId="0" fillId="19" borderId="18" xfId="0" applyFill="1" applyBorder="1" applyAlignment="1">
      <alignment horizontal="left" vertical="center" wrapText="1"/>
    </xf>
    <xf numFmtId="0" fontId="0" fillId="0" borderId="45" xfId="0" applyBorder="1" applyAlignment="1">
      <alignment horizontal="left" vertical="center" wrapText="1"/>
    </xf>
    <xf numFmtId="2" fontId="0" fillId="7" borderId="0" xfId="0" applyNumberFormat="1" applyFill="1" applyAlignment="1">
      <alignment horizontal="center" vertical="center" wrapText="1"/>
    </xf>
    <xf numFmtId="0" fontId="12" fillId="0" borderId="0" xfId="3" applyFont="1" applyFill="1" applyBorder="1" applyAlignment="1" applyProtection="1">
      <alignment horizontal="center" vertical="center"/>
    </xf>
    <xf numFmtId="0" fontId="12" fillId="0" borderId="0" xfId="3" applyFont="1" applyFill="1" applyBorder="1" applyAlignment="1" applyProtection="1">
      <alignment horizontal="center" vertical="center" wrapText="1"/>
    </xf>
    <xf numFmtId="0" fontId="2" fillId="0" borderId="49"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26" xfId="0" applyFont="1" applyBorder="1" applyAlignment="1">
      <alignment horizontal="center" vertical="center" wrapText="1"/>
    </xf>
    <xf numFmtId="0" fontId="0" fillId="0" borderId="10" xfId="0" applyBorder="1"/>
    <xf numFmtId="0" fontId="2" fillId="0" borderId="18" xfId="0" applyFont="1" applyBorder="1" applyAlignment="1">
      <alignment horizontal="center" vertical="center" wrapText="1"/>
    </xf>
    <xf numFmtId="0" fontId="0" fillId="13" borderId="11" xfId="0" applyFill="1" applyBorder="1" applyAlignment="1">
      <alignment horizontal="center"/>
    </xf>
    <xf numFmtId="0" fontId="0" fillId="6" borderId="1" xfId="0" applyFill="1" applyBorder="1" applyAlignment="1" applyProtection="1">
      <alignment horizontal="center" vertical="center"/>
      <protection locked="0"/>
    </xf>
    <xf numFmtId="0" fontId="0" fillId="6" borderId="11" xfId="0" applyFill="1" applyBorder="1" applyAlignment="1" applyProtection="1">
      <alignment horizontal="center"/>
      <protection locked="0"/>
    </xf>
    <xf numFmtId="0" fontId="0" fillId="19" borderId="44" xfId="0" applyFill="1" applyBorder="1" applyAlignment="1" applyProtection="1">
      <alignment vertical="center"/>
      <protection locked="0"/>
    </xf>
    <xf numFmtId="2" fontId="0" fillId="0" borderId="1" xfId="0" applyNumberFormat="1" applyBorder="1" applyProtection="1">
      <protection locked="0"/>
    </xf>
    <xf numFmtId="0" fontId="7" fillId="0" borderId="10" xfId="0" applyFont="1" applyBorder="1" applyAlignment="1">
      <alignment horizontal="center" vertical="center" wrapText="1"/>
    </xf>
    <xf numFmtId="0" fontId="0" fillId="7" borderId="0" xfId="0" quotePrefix="1" applyFill="1"/>
    <xf numFmtId="0" fontId="0" fillId="0" borderId="10" xfId="0" applyBorder="1" applyAlignment="1">
      <alignment horizontal="center" vertical="center" wrapText="1"/>
    </xf>
    <xf numFmtId="0" fontId="2" fillId="0" borderId="12" xfId="0" applyFont="1" applyBorder="1" applyAlignment="1">
      <alignment horizontal="center" vertical="center" wrapText="1"/>
    </xf>
    <xf numFmtId="0" fontId="7" fillId="0" borderId="30" xfId="0" applyFont="1" applyBorder="1" applyAlignment="1">
      <alignment horizontal="center" vertical="center" wrapText="1"/>
    </xf>
    <xf numFmtId="0" fontId="0" fillId="0" borderId="18" xfId="0" applyBorder="1" applyAlignment="1">
      <alignment horizontal="center" vertical="center" wrapText="1"/>
    </xf>
    <xf numFmtId="0" fontId="10" fillId="0" borderId="18" xfId="3" applyFont="1" applyFill="1" applyBorder="1" applyAlignment="1" applyProtection="1">
      <alignment horizontal="left" vertical="center" wrapText="1"/>
    </xf>
    <xf numFmtId="0" fontId="10" fillId="19" borderId="18" xfId="0" applyFont="1" applyFill="1" applyBorder="1" applyAlignment="1">
      <alignment horizontal="left" vertical="center" wrapText="1"/>
    </xf>
    <xf numFmtId="0" fontId="4" fillId="7" borderId="18" xfId="0" applyFont="1" applyFill="1" applyBorder="1" applyAlignment="1">
      <alignment wrapText="1"/>
    </xf>
    <xf numFmtId="0" fontId="2" fillId="7" borderId="19" xfId="0" applyFont="1" applyFill="1" applyBorder="1" applyAlignment="1">
      <alignment wrapText="1"/>
    </xf>
    <xf numFmtId="0" fontId="7" fillId="8" borderId="18" xfId="0" applyFont="1" applyFill="1" applyBorder="1" applyAlignment="1">
      <alignment horizontal="center" vertical="center" wrapText="1"/>
    </xf>
    <xf numFmtId="0" fontId="4" fillId="0" borderId="7" xfId="0" applyFont="1" applyBorder="1" applyAlignment="1">
      <alignment horizontal="left" wrapText="1"/>
    </xf>
    <xf numFmtId="0" fontId="4" fillId="0" borderId="30" xfId="0" applyFont="1" applyBorder="1" applyAlignment="1">
      <alignment horizontal="left" wrapText="1"/>
    </xf>
    <xf numFmtId="0" fontId="0" fillId="7" borderId="30" xfId="0" applyFill="1" applyBorder="1" applyAlignment="1">
      <alignment wrapText="1"/>
    </xf>
    <xf numFmtId="0" fontId="0" fillId="7" borderId="19" xfId="0" applyFill="1" applyBorder="1" applyAlignment="1">
      <alignment wrapText="1"/>
    </xf>
    <xf numFmtId="0" fontId="17" fillId="0" borderId="25" xfId="0" applyFont="1" applyBorder="1" applyAlignment="1">
      <alignment vertical="center" wrapText="1"/>
    </xf>
    <xf numFmtId="0" fontId="0" fillId="0" borderId="30" xfId="0" applyBorder="1" applyAlignment="1">
      <alignment horizontal="left" indent="1"/>
    </xf>
    <xf numFmtId="0" fontId="0" fillId="0" borderId="25" xfId="0" applyBorder="1" applyAlignment="1">
      <alignment horizontal="left" indent="1"/>
    </xf>
    <xf numFmtId="0" fontId="0" fillId="0" borderId="18" xfId="0" applyBorder="1" applyAlignment="1">
      <alignment horizontal="left" indent="1"/>
    </xf>
    <xf numFmtId="0" fontId="0" fillId="0" borderId="12" xfId="0" applyBorder="1" applyAlignment="1">
      <alignment wrapText="1"/>
    </xf>
    <xf numFmtId="0" fontId="17" fillId="0" borderId="18" xfId="0" applyFont="1" applyBorder="1" applyAlignment="1">
      <alignment vertical="center" wrapText="1"/>
    </xf>
    <xf numFmtId="0" fontId="4" fillId="19" borderId="11" xfId="0" applyFont="1" applyFill="1" applyBorder="1" applyAlignment="1" applyProtection="1">
      <alignment vertical="center"/>
      <protection locked="0"/>
    </xf>
    <xf numFmtId="0" fontId="0" fillId="19" borderId="11" xfId="0" applyFill="1" applyBorder="1" applyAlignment="1" applyProtection="1">
      <alignment vertical="center"/>
      <protection locked="0"/>
    </xf>
    <xf numFmtId="0" fontId="0" fillId="19" borderId="56" xfId="0" applyFill="1" applyBorder="1" applyAlignment="1" applyProtection="1">
      <alignment vertical="center"/>
      <protection locked="0"/>
    </xf>
    <xf numFmtId="0" fontId="0" fillId="19" borderId="21" xfId="0" applyFill="1" applyBorder="1" applyAlignment="1" applyProtection="1">
      <alignment vertical="center"/>
      <protection locked="0"/>
    </xf>
    <xf numFmtId="0" fontId="0" fillId="19" borderId="14" xfId="0" applyFill="1" applyBorder="1" applyAlignment="1" applyProtection="1">
      <alignment vertical="center"/>
      <protection locked="0"/>
    </xf>
    <xf numFmtId="0" fontId="0" fillId="19" borderId="63" xfId="0" applyFill="1" applyBorder="1" applyAlignment="1" applyProtection="1">
      <alignment vertical="center"/>
      <protection locked="0"/>
    </xf>
    <xf numFmtId="0" fontId="0" fillId="19" borderId="1" xfId="0" applyFill="1" applyBorder="1" applyAlignment="1" applyProtection="1">
      <alignment vertical="center"/>
      <protection locked="0"/>
    </xf>
    <xf numFmtId="0" fontId="0" fillId="16" borderId="71" xfId="0" applyFill="1" applyBorder="1" applyAlignment="1" applyProtection="1">
      <alignment horizontal="center" vertical="center"/>
      <protection locked="0"/>
    </xf>
    <xf numFmtId="0" fontId="0" fillId="16" borderId="59" xfId="0" applyFill="1" applyBorder="1" applyAlignment="1" applyProtection="1">
      <alignment horizontal="center"/>
      <protection locked="0"/>
    </xf>
    <xf numFmtId="2" fontId="0" fillId="16" borderId="62" xfId="0" applyNumberFormat="1" applyFill="1" applyBorder="1" applyAlignment="1" applyProtection="1">
      <alignment horizontal="center"/>
      <protection locked="0"/>
    </xf>
    <xf numFmtId="164" fontId="0" fillId="7" borderId="0" xfId="2" applyNumberFormat="1" applyFont="1" applyFill="1" applyBorder="1" applyAlignment="1">
      <alignment horizontal="center" vertical="center"/>
    </xf>
    <xf numFmtId="164" fontId="0" fillId="7" borderId="29" xfId="2" applyNumberFormat="1" applyFont="1" applyFill="1" applyBorder="1" applyAlignment="1">
      <alignment horizontal="center" vertical="center"/>
    </xf>
    <xf numFmtId="0" fontId="2" fillId="0" borderId="71" xfId="0" applyFont="1" applyBorder="1" applyAlignment="1" applyProtection="1">
      <alignment vertical="center"/>
      <protection locked="0"/>
    </xf>
    <xf numFmtId="0" fontId="2" fillId="0" borderId="71" xfId="0" applyFont="1" applyBorder="1" applyAlignment="1" applyProtection="1">
      <alignment horizontal="left" vertical="center"/>
      <protection locked="0"/>
    </xf>
    <xf numFmtId="0" fontId="2" fillId="0" borderId="35" xfId="0" applyFont="1" applyBorder="1" applyAlignment="1" applyProtection="1">
      <alignment vertical="center"/>
      <protection locked="0"/>
    </xf>
    <xf numFmtId="0" fontId="2" fillId="0" borderId="34" xfId="0" applyFont="1" applyBorder="1" applyAlignment="1" applyProtection="1">
      <alignment vertical="center"/>
      <protection locked="0"/>
    </xf>
    <xf numFmtId="0" fontId="0" fillId="0" borderId="43" xfId="0" applyBorder="1" applyAlignment="1" applyProtection="1">
      <alignment horizontal="left"/>
      <protection locked="0"/>
    </xf>
    <xf numFmtId="2" fontId="0" fillId="0" borderId="1" xfId="0" applyNumberFormat="1" applyBorder="1" applyAlignment="1" applyProtection="1">
      <alignment horizontal="right"/>
      <protection locked="0"/>
    </xf>
    <xf numFmtId="2" fontId="0" fillId="0" borderId="2" xfId="0" applyNumberFormat="1" applyBorder="1" applyProtection="1">
      <protection locked="0"/>
    </xf>
    <xf numFmtId="2" fontId="0" fillId="0" borderId="48" xfId="0" applyNumberFormat="1" applyBorder="1" applyAlignment="1" applyProtection="1">
      <alignment horizontal="right"/>
      <protection locked="0"/>
    </xf>
    <xf numFmtId="2" fontId="0" fillId="16" borderId="18" xfId="0" applyNumberFormat="1" applyFill="1" applyBorder="1" applyAlignment="1" applyProtection="1">
      <alignment horizontal="left"/>
      <protection locked="0"/>
    </xf>
    <xf numFmtId="2" fontId="0" fillId="16" borderId="1" xfId="0" applyNumberFormat="1" applyFill="1" applyBorder="1" applyAlignment="1" applyProtection="1">
      <alignment horizontal="left"/>
      <protection locked="0"/>
    </xf>
    <xf numFmtId="165" fontId="1" fillId="16" borderId="71" xfId="2" applyNumberFormat="1" applyFill="1" applyBorder="1" applyAlignment="1" applyProtection="1">
      <alignment horizontal="center" vertical="center"/>
      <protection locked="0"/>
    </xf>
    <xf numFmtId="0" fontId="2" fillId="19" borderId="71" xfId="0" applyFont="1" applyFill="1" applyBorder="1" applyAlignment="1">
      <alignment horizontal="center" vertical="center" wrapText="1"/>
    </xf>
    <xf numFmtId="0" fontId="2" fillId="19" borderId="67" xfId="0" applyFont="1" applyFill="1" applyBorder="1" applyAlignment="1">
      <alignment horizontal="center" vertical="center" wrapText="1"/>
    </xf>
    <xf numFmtId="0" fontId="0" fillId="6" borderId="20" xfId="0" applyFill="1" applyBorder="1" applyAlignment="1" applyProtection="1">
      <alignment horizontal="center" vertical="center"/>
      <protection locked="0"/>
    </xf>
    <xf numFmtId="0" fontId="0" fillId="6" borderId="14" xfId="0" applyFill="1" applyBorder="1" applyAlignment="1" applyProtection="1">
      <alignment horizontal="center" vertical="center"/>
      <protection locked="0"/>
    </xf>
    <xf numFmtId="0" fontId="0" fillId="6" borderId="13" xfId="0" applyFill="1" applyBorder="1" applyAlignment="1" applyProtection="1">
      <alignment horizontal="center" vertical="center"/>
      <protection locked="0"/>
    </xf>
    <xf numFmtId="0" fontId="0" fillId="19" borderId="19" xfId="0" applyFill="1" applyBorder="1" applyAlignment="1" applyProtection="1">
      <alignment vertical="center"/>
      <protection locked="0"/>
    </xf>
    <xf numFmtId="0" fontId="0" fillId="13" borderId="21" xfId="0" applyFill="1" applyBorder="1" applyAlignment="1" applyProtection="1">
      <alignment horizontal="center" wrapText="1"/>
      <protection locked="0"/>
    </xf>
    <xf numFmtId="0" fontId="0" fillId="13" borderId="36" xfId="0" applyFill="1" applyBorder="1" applyAlignment="1" applyProtection="1">
      <alignment horizontal="center" wrapText="1"/>
      <protection locked="0"/>
    </xf>
    <xf numFmtId="0" fontId="0" fillId="13" borderId="56" xfId="0" applyFill="1" applyBorder="1" applyAlignment="1" applyProtection="1">
      <alignment horizontal="center" wrapText="1"/>
      <protection locked="0"/>
    </xf>
    <xf numFmtId="0" fontId="4" fillId="19" borderId="38" xfId="0" applyFont="1" applyFill="1" applyBorder="1" applyAlignment="1">
      <alignment wrapText="1"/>
    </xf>
    <xf numFmtId="0" fontId="0" fillId="7" borderId="39" xfId="0" applyFill="1" applyBorder="1" applyAlignment="1">
      <alignment wrapText="1"/>
    </xf>
    <xf numFmtId="0" fontId="9" fillId="0" borderId="32" xfId="0" applyFont="1" applyBorder="1" applyAlignment="1">
      <alignment horizontal="left" vertical="center" wrapText="1"/>
    </xf>
    <xf numFmtId="0" fontId="7" fillId="0" borderId="19" xfId="0" applyFont="1" applyBorder="1" applyAlignment="1">
      <alignment horizontal="left" vertical="top" wrapText="1"/>
    </xf>
    <xf numFmtId="0" fontId="31" fillId="0" borderId="0" xfId="0" applyFont="1"/>
    <xf numFmtId="0" fontId="0" fillId="0" borderId="51" xfId="0" applyBorder="1" applyAlignment="1">
      <alignment horizontal="center" vertical="center" wrapText="1"/>
    </xf>
    <xf numFmtId="0" fontId="0" fillId="19" borderId="1" xfId="0" applyFill="1" applyBorder="1" applyAlignment="1">
      <alignment horizontal="left" vertical="center" wrapText="1"/>
    </xf>
    <xf numFmtId="2" fontId="0" fillId="20" borderId="1" xfId="0" applyNumberFormat="1" applyFill="1" applyBorder="1" applyProtection="1">
      <protection locked="0"/>
    </xf>
    <xf numFmtId="0" fontId="2" fillId="0" borderId="71" xfId="0" applyFont="1" applyBorder="1" applyAlignment="1" applyProtection="1">
      <alignment horizontal="center" vertical="center"/>
      <protection locked="0"/>
    </xf>
    <xf numFmtId="2" fontId="0" fillId="20" borderId="2" xfId="0" applyNumberFormat="1" applyFill="1" applyBorder="1" applyProtection="1">
      <protection locked="0"/>
    </xf>
    <xf numFmtId="2" fontId="0" fillId="16" borderId="2" xfId="0" applyNumberFormat="1" applyFill="1" applyBorder="1" applyAlignment="1" applyProtection="1">
      <alignment horizontal="left"/>
      <protection locked="0"/>
    </xf>
    <xf numFmtId="0" fontId="0" fillId="0" borderId="1" xfId="0" applyBorder="1" applyAlignment="1" applyProtection="1">
      <alignment horizontal="left"/>
      <protection locked="0"/>
    </xf>
    <xf numFmtId="2" fontId="0" fillId="16" borderId="39" xfId="0" applyNumberFormat="1" applyFill="1" applyBorder="1" applyAlignment="1" applyProtection="1">
      <alignment horizontal="left"/>
      <protection locked="0"/>
    </xf>
    <xf numFmtId="2" fontId="0" fillId="16" borderId="48" xfId="0" applyNumberFormat="1" applyFill="1" applyBorder="1" applyAlignment="1" applyProtection="1">
      <alignment horizontal="left"/>
      <protection locked="0"/>
    </xf>
    <xf numFmtId="2" fontId="0" fillId="16" borderId="46" xfId="0" applyNumberFormat="1" applyFill="1" applyBorder="1" applyAlignment="1" applyProtection="1">
      <alignment horizontal="left"/>
      <protection locked="0"/>
    </xf>
    <xf numFmtId="0" fontId="6" fillId="6" borderId="14" xfId="3" applyFill="1" applyBorder="1" applyAlignment="1" applyProtection="1">
      <alignment vertical="top"/>
      <protection locked="0"/>
    </xf>
    <xf numFmtId="9" fontId="0" fillId="13" borderId="14" xfId="1" applyFont="1" applyFill="1" applyBorder="1" applyAlignment="1" applyProtection="1">
      <alignment horizontal="right"/>
    </xf>
    <xf numFmtId="9" fontId="0" fillId="13" borderId="44" xfId="1" applyFont="1" applyFill="1" applyBorder="1" applyAlignment="1" applyProtection="1">
      <alignment horizontal="right"/>
    </xf>
    <xf numFmtId="0" fontId="0" fillId="0" borderId="18" xfId="0" applyBorder="1" applyProtection="1">
      <protection locked="0"/>
    </xf>
    <xf numFmtId="0" fontId="0" fillId="0" borderId="30" xfId="0" applyBorder="1" applyProtection="1">
      <protection locked="0"/>
    </xf>
    <xf numFmtId="0" fontId="0" fillId="0" borderId="19" xfId="0" applyBorder="1" applyProtection="1">
      <protection locked="0"/>
    </xf>
    <xf numFmtId="0" fontId="0" fillId="0" borderId="32" xfId="0" applyBorder="1" applyProtection="1">
      <protection locked="0"/>
    </xf>
    <xf numFmtId="164" fontId="0" fillId="7" borderId="41" xfId="0" applyNumberFormat="1" applyFill="1" applyBorder="1"/>
    <xf numFmtId="0" fontId="0" fillId="7" borderId="40" xfId="0" applyFill="1" applyBorder="1"/>
    <xf numFmtId="164" fontId="0" fillId="7" borderId="43" xfId="0" applyNumberFormat="1" applyFill="1" applyBorder="1"/>
    <xf numFmtId="0" fontId="0" fillId="7" borderId="0" xfId="0" applyFill="1" applyAlignment="1">
      <alignment wrapText="1"/>
    </xf>
    <xf numFmtId="0" fontId="2" fillId="0" borderId="91" xfId="0" applyFont="1" applyBorder="1" applyAlignment="1">
      <alignment horizontal="center" vertical="center" wrapText="1"/>
    </xf>
    <xf numFmtId="0" fontId="2" fillId="0" borderId="42" xfId="0" applyFont="1" applyBorder="1" applyAlignment="1">
      <alignment horizontal="center" vertical="center" wrapText="1"/>
    </xf>
    <xf numFmtId="0" fontId="0" fillId="6" borderId="9" xfId="0" applyFill="1" applyBorder="1" applyProtection="1">
      <protection locked="0"/>
    </xf>
    <xf numFmtId="0" fontId="0" fillId="6" borderId="1" xfId="0" applyFill="1" applyBorder="1" applyProtection="1">
      <protection locked="0"/>
    </xf>
    <xf numFmtId="0" fontId="0" fillId="6" borderId="48" xfId="0" applyFill="1" applyBorder="1" applyProtection="1">
      <protection locked="0"/>
    </xf>
    <xf numFmtId="0" fontId="0" fillId="6" borderId="24" xfId="0" applyFill="1" applyBorder="1" applyProtection="1">
      <protection locked="0"/>
    </xf>
    <xf numFmtId="0" fontId="0" fillId="6" borderId="4" xfId="0" applyFill="1" applyBorder="1" applyProtection="1">
      <protection locked="0"/>
    </xf>
    <xf numFmtId="0" fontId="0" fillId="6" borderId="13" xfId="0" applyFill="1" applyBorder="1" applyProtection="1">
      <protection locked="0"/>
    </xf>
    <xf numFmtId="0" fontId="2" fillId="7" borderId="54" xfId="0" applyFont="1" applyFill="1" applyBorder="1"/>
    <xf numFmtId="0" fontId="0" fillId="0" borderId="15" xfId="0" applyBorder="1"/>
    <xf numFmtId="0" fontId="0" fillId="0" borderId="52" xfId="0" applyBorder="1"/>
    <xf numFmtId="0" fontId="2" fillId="0" borderId="0" xfId="0" applyFont="1" applyAlignment="1">
      <alignment wrapText="1"/>
    </xf>
    <xf numFmtId="0" fontId="9" fillId="0" borderId="0" xfId="0" applyFont="1" applyAlignment="1">
      <alignment wrapText="1"/>
    </xf>
    <xf numFmtId="0" fontId="0" fillId="0" borderId="13" xfId="0" applyBorder="1" applyAlignment="1">
      <alignment horizontal="left" vertical="top" wrapText="1"/>
    </xf>
    <xf numFmtId="0" fontId="10" fillId="0" borderId="2" xfId="0" applyFont="1" applyBorder="1" applyAlignment="1">
      <alignment horizontal="center" vertical="center" wrapText="1"/>
    </xf>
    <xf numFmtId="0" fontId="0" fillId="0" borderId="26" xfId="0" applyBorder="1"/>
    <xf numFmtId="0" fontId="10" fillId="0" borderId="39" xfId="0" applyFont="1" applyBorder="1" applyAlignment="1">
      <alignment horizontal="center" vertical="center" wrapText="1"/>
    </xf>
    <xf numFmtId="0" fontId="10" fillId="0" borderId="48" xfId="0" applyFont="1" applyBorder="1" applyAlignment="1">
      <alignment horizontal="center" vertical="center" wrapText="1"/>
    </xf>
    <xf numFmtId="0" fontId="0" fillId="7" borderId="26" xfId="0" applyFill="1" applyBorder="1"/>
    <xf numFmtId="0" fontId="0" fillId="7" borderId="56" xfId="0" applyFill="1" applyBorder="1"/>
    <xf numFmtId="0" fontId="0" fillId="7" borderId="67" xfId="0" applyFill="1" applyBorder="1"/>
    <xf numFmtId="0" fontId="0" fillId="7" borderId="92" xfId="0" applyFill="1" applyBorder="1"/>
    <xf numFmtId="0" fontId="0" fillId="7" borderId="74" xfId="0" applyFill="1" applyBorder="1"/>
    <xf numFmtId="0" fontId="37" fillId="0" borderId="1" xfId="3" applyFont="1" applyFill="1" applyBorder="1" applyAlignment="1" applyProtection="1">
      <alignment horizontal="center" vertical="center" wrapText="1"/>
    </xf>
    <xf numFmtId="0" fontId="37" fillId="0" borderId="48" xfId="3" applyFont="1" applyFill="1" applyBorder="1" applyAlignment="1" applyProtection="1">
      <alignment horizontal="center" vertical="center" wrapText="1"/>
    </xf>
    <xf numFmtId="0" fontId="37" fillId="0" borderId="2" xfId="3" applyFont="1" applyFill="1" applyBorder="1" applyAlignment="1" applyProtection="1">
      <alignment horizontal="center" vertical="center" wrapText="1"/>
    </xf>
    <xf numFmtId="0" fontId="37" fillId="0" borderId="1" xfId="3" applyFont="1" applyFill="1" applyBorder="1" applyAlignment="1">
      <alignment horizontal="center" vertical="center" wrapText="1"/>
    </xf>
    <xf numFmtId="0" fontId="37" fillId="0" borderId="2" xfId="3" applyFont="1" applyFill="1" applyBorder="1" applyAlignment="1">
      <alignment horizontal="center" vertical="center" wrapText="1"/>
    </xf>
    <xf numFmtId="0" fontId="37" fillId="0" borderId="51" xfId="3" applyFont="1" applyFill="1" applyBorder="1" applyAlignment="1" applyProtection="1">
      <alignment horizontal="center" vertical="center" wrapText="1"/>
    </xf>
    <xf numFmtId="0" fontId="37" fillId="0" borderId="1" xfId="3" applyFont="1" applyFill="1" applyBorder="1" applyAlignment="1" applyProtection="1">
      <alignment horizontal="center" vertical="center"/>
    </xf>
    <xf numFmtId="0" fontId="37" fillId="0" borderId="11" xfId="3" applyFont="1" applyFill="1" applyBorder="1" applyAlignment="1" applyProtection="1">
      <alignment horizontal="center" vertical="center"/>
    </xf>
    <xf numFmtId="0" fontId="37" fillId="0" borderId="11" xfId="3" applyFont="1" applyFill="1" applyBorder="1" applyAlignment="1" applyProtection="1">
      <alignment horizontal="center" vertical="center" wrapText="1"/>
    </xf>
    <xf numFmtId="0" fontId="37" fillId="0" borderId="5" xfId="3" applyFont="1" applyFill="1" applyBorder="1" applyAlignment="1" applyProtection="1">
      <alignment horizontal="center" vertical="center" wrapText="1"/>
    </xf>
    <xf numFmtId="0" fontId="37" fillId="0" borderId="47" xfId="3" applyFont="1" applyFill="1" applyBorder="1" applyAlignment="1" applyProtection="1">
      <alignment horizontal="center" vertical="center" wrapText="1"/>
    </xf>
    <xf numFmtId="0" fontId="37" fillId="0" borderId="53" xfId="3" applyFont="1" applyFill="1" applyBorder="1" applyAlignment="1" applyProtection="1">
      <alignment horizontal="center" vertical="center" wrapText="1"/>
    </xf>
    <xf numFmtId="0" fontId="38" fillId="0" borderId="1" xfId="3" applyFont="1" applyFill="1" applyBorder="1" applyAlignment="1" applyProtection="1">
      <alignment horizontal="center" vertical="center" wrapText="1"/>
    </xf>
    <xf numFmtId="0" fontId="37" fillId="0" borderId="46" xfId="3" applyFont="1" applyFill="1" applyBorder="1" applyAlignment="1">
      <alignment horizontal="center" vertical="center" wrapText="1"/>
    </xf>
    <xf numFmtId="0" fontId="37" fillId="0" borderId="11" xfId="3" applyFont="1" applyFill="1" applyBorder="1" applyAlignment="1">
      <alignment horizontal="center" vertical="center" wrapText="1"/>
    </xf>
    <xf numFmtId="0" fontId="4" fillId="0" borderId="1" xfId="0" applyFont="1" applyBorder="1" applyAlignment="1">
      <alignment horizontal="center" vertical="center" wrapText="1"/>
    </xf>
    <xf numFmtId="0" fontId="4" fillId="7" borderId="1" xfId="0" applyFont="1" applyFill="1" applyBorder="1" applyAlignment="1">
      <alignment horizontal="center" vertical="center" wrapText="1"/>
    </xf>
    <xf numFmtId="0" fontId="2" fillId="0" borderId="1" xfId="0" applyFont="1" applyBorder="1" applyAlignment="1" applyProtection="1">
      <alignment horizontal="center" wrapText="1"/>
      <protection locked="0"/>
    </xf>
    <xf numFmtId="0" fontId="9" fillId="0" borderId="7" xfId="0" applyFont="1" applyBorder="1" applyAlignment="1">
      <alignment horizontal="left" vertical="center" wrapText="1"/>
    </xf>
    <xf numFmtId="0" fontId="9" fillId="0" borderId="18" xfId="3" applyFont="1" applyFill="1" applyBorder="1" applyAlignment="1">
      <alignment horizontal="left" wrapText="1"/>
    </xf>
    <xf numFmtId="2" fontId="0" fillId="6" borderId="1" xfId="0" applyNumberFormat="1" applyFill="1" applyBorder="1" applyAlignment="1" applyProtection="1">
      <alignment horizontal="right" vertical="center"/>
      <protection locked="0"/>
    </xf>
    <xf numFmtId="2" fontId="0" fillId="13" borderId="20" xfId="0" applyNumberFormat="1" applyFill="1" applyBorder="1" applyAlignment="1" applyProtection="1">
      <alignment horizontal="right" vertical="center"/>
      <protection locked="0"/>
    </xf>
    <xf numFmtId="2" fontId="0" fillId="13" borderId="6" xfId="2" applyFont="1" applyFill="1" applyBorder="1" applyAlignment="1">
      <alignment horizontal="right" vertical="center"/>
    </xf>
    <xf numFmtId="2" fontId="0" fillId="13" borderId="43" xfId="2" applyFont="1" applyFill="1" applyBorder="1" applyAlignment="1">
      <alignment horizontal="right" vertical="center"/>
    </xf>
    <xf numFmtId="2" fontId="0" fillId="13" borderId="20" xfId="2" applyFont="1" applyFill="1" applyBorder="1" applyAlignment="1">
      <alignment horizontal="right" vertical="center"/>
    </xf>
    <xf numFmtId="2" fontId="0" fillId="6" borderId="1" xfId="0" applyNumberFormat="1" applyFill="1" applyBorder="1" applyAlignment="1" applyProtection="1">
      <alignment horizontal="right"/>
      <protection locked="0"/>
    </xf>
    <xf numFmtId="2" fontId="0" fillId="13" borderId="20" xfId="0" applyNumberFormat="1" applyFill="1" applyBorder="1" applyAlignment="1">
      <alignment horizontal="right" vertical="center"/>
    </xf>
    <xf numFmtId="2" fontId="0" fillId="6" borderId="11" xfId="0" applyNumberFormat="1" applyFill="1" applyBorder="1" applyAlignment="1" applyProtection="1">
      <alignment horizontal="right"/>
      <protection locked="0"/>
    </xf>
    <xf numFmtId="2" fontId="0" fillId="6" borderId="20" xfId="0" applyNumberFormat="1" applyFill="1" applyBorder="1" applyAlignment="1" applyProtection="1">
      <alignment horizontal="right"/>
      <protection locked="0"/>
    </xf>
    <xf numFmtId="2" fontId="0" fillId="6" borderId="14" xfId="0" applyNumberFormat="1" applyFill="1" applyBorder="1" applyAlignment="1" applyProtection="1">
      <alignment horizontal="right"/>
      <protection locked="0"/>
    </xf>
    <xf numFmtId="2" fontId="0" fillId="6" borderId="6" xfId="0" applyNumberFormat="1" applyFill="1" applyBorder="1" applyAlignment="1" applyProtection="1">
      <alignment horizontal="right"/>
      <protection locked="0"/>
    </xf>
    <xf numFmtId="2" fontId="0" fillId="6" borderId="44" xfId="0" applyNumberFormat="1" applyFill="1" applyBorder="1" applyAlignment="1" applyProtection="1">
      <alignment horizontal="right"/>
      <protection locked="0"/>
    </xf>
    <xf numFmtId="2" fontId="0" fillId="6" borderId="51" xfId="0" applyNumberFormat="1" applyFill="1" applyBorder="1" applyAlignment="1" applyProtection="1">
      <alignment horizontal="right"/>
      <protection locked="0"/>
    </xf>
    <xf numFmtId="2" fontId="0" fillId="0" borderId="11" xfId="0" applyNumberFormat="1" applyBorder="1" applyAlignment="1" applyProtection="1">
      <alignment horizontal="right" vertical="center"/>
      <protection locked="0"/>
    </xf>
    <xf numFmtId="2" fontId="0" fillId="0" borderId="14" xfId="0" applyNumberFormat="1" applyBorder="1" applyAlignment="1" applyProtection="1">
      <alignment horizontal="right" vertical="center" wrapText="1"/>
      <protection locked="0"/>
    </xf>
    <xf numFmtId="2" fontId="0" fillId="0" borderId="1" xfId="0" applyNumberFormat="1" applyBorder="1" applyAlignment="1" applyProtection="1">
      <alignment horizontal="right" vertical="center" wrapText="1"/>
      <protection locked="0"/>
    </xf>
    <xf numFmtId="2" fontId="0" fillId="0" borderId="5" xfId="0" applyNumberFormat="1" applyBorder="1" applyAlignment="1" applyProtection="1">
      <alignment horizontal="right" vertical="center" wrapText="1"/>
      <protection locked="0"/>
    </xf>
    <xf numFmtId="2" fontId="0" fillId="13" borderId="51" xfId="0" applyNumberFormat="1" applyFill="1" applyBorder="1" applyAlignment="1">
      <alignment horizontal="right" vertical="center"/>
    </xf>
    <xf numFmtId="2" fontId="0" fillId="0" borderId="1" xfId="0" applyNumberFormat="1" applyBorder="1" applyAlignment="1" applyProtection="1">
      <alignment horizontal="right" vertical="center"/>
      <protection locked="0"/>
    </xf>
    <xf numFmtId="2" fontId="0" fillId="13" borderId="11" xfId="0" applyNumberFormat="1" applyFill="1" applyBorder="1" applyAlignment="1">
      <alignment horizontal="right" vertical="center"/>
    </xf>
    <xf numFmtId="2" fontId="0" fillId="0" borderId="20" xfId="0" applyNumberFormat="1" applyBorder="1" applyAlignment="1" applyProtection="1">
      <alignment horizontal="right"/>
      <protection locked="0"/>
    </xf>
    <xf numFmtId="2" fontId="0" fillId="13" borderId="14" xfId="0" applyNumberFormat="1" applyFill="1" applyBorder="1" applyAlignment="1">
      <alignment horizontal="right" vertical="center"/>
    </xf>
    <xf numFmtId="2" fontId="0" fillId="0" borderId="6" xfId="0" applyNumberFormat="1" applyBorder="1" applyAlignment="1" applyProtection="1">
      <alignment horizontal="right" vertical="center"/>
      <protection locked="0"/>
    </xf>
    <xf numFmtId="2" fontId="0" fillId="13" borderId="44" xfId="0" applyNumberFormat="1" applyFill="1" applyBorder="1" applyAlignment="1">
      <alignment horizontal="right" vertical="center"/>
    </xf>
    <xf numFmtId="2" fontId="0" fillId="0" borderId="20" xfId="0" applyNumberFormat="1" applyBorder="1" applyAlignment="1" applyProtection="1">
      <alignment horizontal="right" vertical="center"/>
      <protection locked="0"/>
    </xf>
    <xf numFmtId="0" fontId="0" fillId="13" borderId="14" xfId="0" applyFill="1" applyBorder="1" applyAlignment="1">
      <alignment horizontal="right" vertical="center"/>
    </xf>
    <xf numFmtId="2" fontId="0" fillId="6" borderId="11" xfId="0" applyNumberFormat="1" applyFill="1" applyBorder="1" applyAlignment="1" applyProtection="1">
      <alignment horizontal="right" vertical="center"/>
      <protection locked="0"/>
    </xf>
    <xf numFmtId="2" fontId="0" fillId="6" borderId="51" xfId="0" applyNumberFormat="1" applyFill="1" applyBorder="1" applyAlignment="1" applyProtection="1">
      <alignment horizontal="right" vertical="center"/>
      <protection locked="0"/>
    </xf>
    <xf numFmtId="2" fontId="0" fillId="6" borderId="9" xfId="0" applyNumberFormat="1" applyFill="1" applyBorder="1" applyAlignment="1" applyProtection="1">
      <alignment horizontal="right" vertical="center"/>
      <protection locked="0"/>
    </xf>
    <xf numFmtId="2" fontId="0" fillId="6" borderId="58" xfId="0" applyNumberFormat="1" applyFill="1" applyBorder="1" applyAlignment="1" applyProtection="1">
      <alignment horizontal="right" vertical="center"/>
      <protection locked="0"/>
    </xf>
    <xf numFmtId="2" fontId="0" fillId="6" borderId="44" xfId="0" applyNumberFormat="1" applyFill="1" applyBorder="1" applyAlignment="1" applyProtection="1">
      <alignment horizontal="right" vertical="center"/>
      <protection locked="0"/>
    </xf>
    <xf numFmtId="2" fontId="0" fillId="6" borderId="14" xfId="0" applyNumberFormat="1" applyFill="1" applyBorder="1" applyAlignment="1" applyProtection="1">
      <alignment horizontal="right" vertical="center"/>
      <protection locked="0"/>
    </xf>
    <xf numFmtId="2" fontId="0" fillId="13" borderId="58" xfId="0" applyNumberFormat="1" applyFill="1" applyBorder="1" applyAlignment="1">
      <alignment horizontal="right" vertical="center" wrapText="1"/>
    </xf>
    <xf numFmtId="9" fontId="0" fillId="19" borderId="11" xfId="1" applyFont="1" applyFill="1" applyBorder="1" applyAlignment="1" applyProtection="1">
      <alignment horizontal="right"/>
    </xf>
    <xf numFmtId="0" fontId="2" fillId="0" borderId="1" xfId="0" applyFont="1" applyBorder="1" applyAlignment="1">
      <alignment horizontal="center" vertical="center" wrapText="1"/>
    </xf>
    <xf numFmtId="0" fontId="9" fillId="6" borderId="11" xfId="3" applyFont="1" applyFill="1" applyBorder="1" applyAlignment="1" applyProtection="1">
      <alignment horizontal="left" vertical="top" wrapText="1"/>
      <protection locked="0"/>
    </xf>
    <xf numFmtId="2" fontId="9" fillId="6" borderId="11" xfId="3" applyNumberFormat="1" applyFont="1" applyFill="1" applyBorder="1" applyAlignment="1" applyProtection="1">
      <alignment horizontal="right" vertical="top"/>
      <protection locked="0"/>
    </xf>
    <xf numFmtId="0" fontId="1" fillId="6" borderId="14" xfId="0" applyFont="1" applyFill="1" applyBorder="1" applyAlignment="1" applyProtection="1">
      <alignment horizontal="left" vertical="top"/>
      <protection locked="0"/>
    </xf>
    <xf numFmtId="2" fontId="0" fillId="13" borderId="11" xfId="2" applyFont="1" applyFill="1" applyBorder="1" applyAlignment="1">
      <alignment horizontal="right"/>
    </xf>
    <xf numFmtId="2" fontId="0" fillId="13" borderId="14" xfId="2" applyFont="1" applyFill="1" applyBorder="1" applyAlignment="1">
      <alignment horizontal="right"/>
    </xf>
    <xf numFmtId="2" fontId="0" fillId="17" borderId="2" xfId="0" applyNumberFormat="1" applyFill="1" applyBorder="1"/>
    <xf numFmtId="2" fontId="0" fillId="17" borderId="1" xfId="0" applyNumberFormat="1" applyFill="1" applyBorder="1"/>
    <xf numFmtId="2" fontId="0" fillId="17" borderId="48" xfId="0" applyNumberFormat="1" applyFill="1" applyBorder="1"/>
    <xf numFmtId="2" fontId="0" fillId="17" borderId="46" xfId="0" applyNumberFormat="1" applyFill="1" applyBorder="1"/>
    <xf numFmtId="0" fontId="2" fillId="0" borderId="71" xfId="0" applyFont="1" applyBorder="1" applyAlignment="1">
      <alignment horizontal="left" vertical="center"/>
    </xf>
    <xf numFmtId="0" fontId="0" fillId="7" borderId="26" xfId="0" applyFill="1" applyBorder="1" applyAlignment="1">
      <alignment horizontal="center"/>
    </xf>
    <xf numFmtId="2" fontId="0" fillId="20" borderId="11" xfId="0" applyNumberFormat="1" applyFill="1" applyBorder="1" applyAlignment="1">
      <alignment horizontal="center"/>
    </xf>
    <xf numFmtId="0" fontId="6" fillId="7" borderId="5" xfId="3" quotePrefix="1" applyFill="1" applyBorder="1" applyAlignment="1" applyProtection="1">
      <alignment horizontal="left"/>
    </xf>
    <xf numFmtId="0" fontId="6" fillId="7" borderId="47" xfId="3" quotePrefix="1" applyFill="1" applyBorder="1" applyAlignment="1" applyProtection="1">
      <alignment horizontal="left"/>
    </xf>
    <xf numFmtId="0" fontId="0" fillId="13" borderId="0" xfId="0" applyFill="1" applyAlignment="1">
      <alignment wrapText="1"/>
    </xf>
    <xf numFmtId="0" fontId="0" fillId="5" borderId="0" xfId="0" applyFill="1" applyAlignment="1">
      <alignment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2" fillId="0" borderId="50" xfId="0" applyFont="1" applyBorder="1" applyAlignment="1">
      <alignment horizontal="center" vertical="center" wrapText="1"/>
    </xf>
    <xf numFmtId="0" fontId="2" fillId="0" borderId="50" xfId="0" applyFont="1" applyBorder="1" applyAlignment="1">
      <alignment horizontal="left" vertical="center"/>
    </xf>
    <xf numFmtId="0" fontId="2" fillId="0" borderId="55" xfId="0" applyFont="1" applyBorder="1" applyAlignment="1">
      <alignment horizontal="center" vertical="center" wrapText="1"/>
    </xf>
    <xf numFmtId="0" fontId="0" fillId="0" borderId="0" xfId="0" applyAlignment="1">
      <alignment indent="1"/>
    </xf>
    <xf numFmtId="0" fontId="0" fillId="0" borderId="0" xfId="0" applyAlignment="1">
      <alignment indent="3"/>
    </xf>
    <xf numFmtId="0" fontId="0" fillId="0" borderId="0" xfId="0" applyAlignment="1">
      <alignment indent="2"/>
    </xf>
    <xf numFmtId="2" fontId="0" fillId="0" borderId="0" xfId="0" applyNumberFormat="1"/>
    <xf numFmtId="0" fontId="0" fillId="0" borderId="0" xfId="0" applyAlignment="1">
      <alignment indent="4"/>
    </xf>
    <xf numFmtId="0" fontId="0" fillId="0" borderId="0" xfId="0" applyAlignment="1">
      <alignment indent="5"/>
    </xf>
    <xf numFmtId="0" fontId="16" fillId="0" borderId="0" xfId="0" applyFont="1"/>
    <xf numFmtId="14" fontId="16" fillId="0" borderId="0" xfId="0" applyNumberFormat="1" applyFont="1" applyAlignment="1">
      <alignment horizontal="left"/>
    </xf>
    <xf numFmtId="0" fontId="0" fillId="11" borderId="0" xfId="0" applyFill="1"/>
    <xf numFmtId="0" fontId="6" fillId="0" borderId="0" xfId="3" applyProtection="1"/>
    <xf numFmtId="0" fontId="15" fillId="11" borderId="0" xfId="0" applyFont="1" applyFill="1"/>
    <xf numFmtId="0" fontId="15" fillId="0" borderId="0" xfId="0" applyFont="1"/>
    <xf numFmtId="0" fontId="22" fillId="11" borderId="0" xfId="0" applyFont="1" applyFill="1" applyAlignment="1">
      <alignment vertical="center" wrapText="1"/>
    </xf>
    <xf numFmtId="0" fontId="19" fillId="11" borderId="0" xfId="0" applyFont="1" applyFill="1" applyAlignment="1">
      <alignment horizontal="left" vertical="center" wrapText="1"/>
    </xf>
    <xf numFmtId="0" fontId="26" fillId="11" borderId="46" xfId="0" applyFont="1" applyFill="1" applyBorder="1"/>
    <xf numFmtId="0" fontId="18" fillId="0" borderId="5" xfId="0" applyFont="1" applyBorder="1"/>
    <xf numFmtId="0" fontId="18" fillId="0" borderId="53" xfId="0" applyFont="1" applyBorder="1"/>
    <xf numFmtId="0" fontId="18" fillId="0" borderId="0" xfId="0" applyFont="1"/>
    <xf numFmtId="0" fontId="18" fillId="11" borderId="0" xfId="0" applyFont="1" applyFill="1" applyAlignment="1">
      <alignment vertical="center" wrapText="1"/>
    </xf>
    <xf numFmtId="0" fontId="18" fillId="11" borderId="0" xfId="0" applyFont="1" applyFill="1" applyAlignment="1">
      <alignment vertical="top" wrapText="1"/>
    </xf>
    <xf numFmtId="0" fontId="0" fillId="0" borderId="0" xfId="0" applyAlignment="1">
      <alignment vertical="top"/>
    </xf>
    <xf numFmtId="0" fontId="26" fillId="0" borderId="0" xfId="0" applyFont="1" applyAlignment="1">
      <alignment vertical="center"/>
    </xf>
    <xf numFmtId="0" fontId="26" fillId="21" borderId="2" xfId="0" applyFont="1" applyFill="1" applyBorder="1" applyAlignment="1">
      <alignment horizontal="left" vertical="center"/>
    </xf>
    <xf numFmtId="0" fontId="14" fillId="0" borderId="0" xfId="0" applyFont="1" applyAlignment="1">
      <alignment horizontal="center" vertical="center"/>
    </xf>
    <xf numFmtId="0" fontId="26" fillId="12" borderId="2" xfId="0" applyFont="1" applyFill="1" applyBorder="1" applyAlignment="1">
      <alignment horizontal="left" vertical="center"/>
    </xf>
    <xf numFmtId="0" fontId="18" fillId="0" borderId="0" xfId="0" applyFont="1" applyAlignment="1">
      <alignment vertical="center"/>
    </xf>
    <xf numFmtId="0" fontId="26" fillId="4" borderId="2" xfId="0" applyFont="1" applyFill="1" applyBorder="1" applyAlignment="1">
      <alignment horizontal="left" vertical="center"/>
    </xf>
    <xf numFmtId="0" fontId="27" fillId="13" borderId="2" xfId="0" applyFont="1" applyFill="1" applyBorder="1" applyAlignment="1">
      <alignment horizontal="left" vertical="center" wrapText="1"/>
    </xf>
    <xf numFmtId="0" fontId="18" fillId="0" borderId="0" xfId="0" applyFont="1" applyAlignment="1">
      <alignment vertical="center" wrapText="1"/>
    </xf>
    <xf numFmtId="0" fontId="27" fillId="19" borderId="2" xfId="0" applyFont="1" applyFill="1" applyBorder="1" applyAlignment="1">
      <alignment horizontal="left" vertical="center" wrapText="1"/>
    </xf>
    <xf numFmtId="0" fontId="27" fillId="6" borderId="2" xfId="0" applyFont="1" applyFill="1" applyBorder="1" applyAlignment="1">
      <alignment horizontal="left" vertical="center" wrapText="1"/>
    </xf>
    <xf numFmtId="0" fontId="26" fillId="10" borderId="2" xfId="0" applyFont="1" applyFill="1" applyBorder="1" applyAlignment="1">
      <alignment horizontal="left" vertical="center" wrapText="1"/>
    </xf>
    <xf numFmtId="0" fontId="26" fillId="9" borderId="2" xfId="0" applyFont="1" applyFill="1" applyBorder="1" applyAlignment="1">
      <alignment horizontal="left" vertical="center"/>
    </xf>
    <xf numFmtId="0" fontId="19" fillId="7" borderId="68" xfId="0" applyFont="1" applyFill="1" applyBorder="1" applyAlignment="1">
      <alignment horizontal="left" vertical="center"/>
    </xf>
    <xf numFmtId="0" fontId="26" fillId="0" borderId="43" xfId="0" applyFont="1" applyBorder="1" applyAlignment="1">
      <alignment horizontal="left" vertical="center"/>
    </xf>
    <xf numFmtId="0" fontId="18" fillId="0" borderId="0" xfId="0" applyFont="1" applyAlignment="1">
      <alignment horizontal="left" vertical="center" wrapText="1"/>
    </xf>
    <xf numFmtId="0" fontId="0" fillId="7" borderId="28" xfId="0" applyFill="1" applyBorder="1"/>
    <xf numFmtId="0" fontId="34" fillId="0" borderId="42" xfId="0" applyFont="1" applyBorder="1" applyAlignment="1">
      <alignment horizontal="center"/>
    </xf>
    <xf numFmtId="0" fontId="35" fillId="7" borderId="25" xfId="0" applyFont="1" applyFill="1" applyBorder="1" applyAlignment="1">
      <alignment horizontal="center"/>
    </xf>
    <xf numFmtId="0" fontId="0" fillId="7" borderId="30" xfId="0" applyFill="1" applyBorder="1" applyAlignment="1">
      <alignment horizontal="center" vertical="center"/>
    </xf>
    <xf numFmtId="0" fontId="34" fillId="0" borderId="51" xfId="0" applyFont="1" applyBorder="1" applyAlignment="1">
      <alignment horizontal="center" vertical="center"/>
    </xf>
    <xf numFmtId="0" fontId="7" fillId="7" borderId="39" xfId="3" applyFont="1" applyFill="1" applyBorder="1" applyProtection="1"/>
    <xf numFmtId="0" fontId="2" fillId="6" borderId="51" xfId="0" applyFont="1" applyFill="1" applyBorder="1" applyAlignment="1">
      <alignment horizontal="center" vertical="center"/>
    </xf>
    <xf numFmtId="0" fontId="6" fillId="7" borderId="90" xfId="3" quotePrefix="1" applyFill="1" applyBorder="1" applyAlignment="1" applyProtection="1">
      <alignment wrapText="1"/>
    </xf>
    <xf numFmtId="0" fontId="2" fillId="7" borderId="85" xfId="0" applyFont="1" applyFill="1" applyBorder="1" applyAlignment="1">
      <alignment horizontal="center" vertical="center"/>
    </xf>
    <xf numFmtId="0" fontId="6" fillId="7" borderId="30" xfId="3" quotePrefix="1" applyFill="1" applyBorder="1" applyAlignment="1" applyProtection="1">
      <alignment wrapText="1"/>
    </xf>
    <xf numFmtId="0" fontId="36" fillId="7" borderId="25" xfId="0" applyFont="1" applyFill="1" applyBorder="1" applyAlignment="1">
      <alignment wrapText="1"/>
    </xf>
    <xf numFmtId="0" fontId="2" fillId="6" borderId="85" xfId="0" applyFont="1" applyFill="1" applyBorder="1" applyAlignment="1">
      <alignment horizontal="center" vertical="center"/>
    </xf>
    <xf numFmtId="0" fontId="6" fillId="7" borderId="25" xfId="3" applyFill="1" applyBorder="1" applyAlignment="1" applyProtection="1">
      <alignment wrapText="1"/>
    </xf>
    <xf numFmtId="0" fontId="6" fillId="7" borderId="25" xfId="3" quotePrefix="1" applyFill="1" applyBorder="1" applyAlignment="1" applyProtection="1">
      <alignment wrapText="1"/>
    </xf>
    <xf numFmtId="0" fontId="7" fillId="7" borderId="39" xfId="3" applyFont="1" applyFill="1" applyBorder="1" applyAlignment="1" applyProtection="1">
      <alignment wrapText="1"/>
    </xf>
    <xf numFmtId="0" fontId="6" fillId="7" borderId="90" xfId="3" applyFill="1" applyBorder="1" applyAlignment="1" applyProtection="1">
      <alignment wrapText="1"/>
    </xf>
    <xf numFmtId="0" fontId="2" fillId="0" borderId="85" xfId="0" applyFont="1" applyBorder="1" applyAlignment="1">
      <alignment horizontal="center" vertical="center"/>
    </xf>
    <xf numFmtId="0" fontId="2" fillId="7" borderId="44" xfId="0" applyFont="1" applyFill="1" applyBorder="1" applyAlignment="1">
      <alignment horizontal="center" vertical="center"/>
    </xf>
    <xf numFmtId="0" fontId="7" fillId="7" borderId="25" xfId="3" applyFont="1" applyFill="1" applyBorder="1" applyAlignment="1" applyProtection="1">
      <alignment wrapText="1"/>
    </xf>
    <xf numFmtId="0" fontId="6" fillId="7" borderId="49" xfId="3" quotePrefix="1" applyFill="1" applyBorder="1" applyAlignment="1" applyProtection="1">
      <alignment wrapText="1"/>
    </xf>
    <xf numFmtId="0" fontId="7" fillId="7" borderId="25" xfId="3" quotePrefix="1" applyFont="1" applyFill="1" applyBorder="1" applyAlignment="1" applyProtection="1">
      <alignment wrapText="1"/>
    </xf>
    <xf numFmtId="0" fontId="6" fillId="7" borderId="45" xfId="3" quotePrefix="1" applyFill="1" applyBorder="1" applyAlignment="1" applyProtection="1">
      <alignment wrapText="1"/>
    </xf>
    <xf numFmtId="0" fontId="2" fillId="7" borderId="58" xfId="0" applyFont="1" applyFill="1" applyBorder="1" applyAlignment="1">
      <alignment horizontal="center" vertical="center"/>
    </xf>
    <xf numFmtId="0" fontId="0" fillId="7" borderId="10" xfId="0" applyFill="1" applyBorder="1"/>
    <xf numFmtId="0" fontId="0" fillId="7" borderId="52" xfId="0" applyFill="1" applyBorder="1"/>
    <xf numFmtId="0" fontId="0" fillId="19" borderId="56" xfId="0" applyFill="1" applyBorder="1" applyAlignment="1" applyProtection="1">
      <alignment horizontal="center" vertical="center" wrapText="1"/>
      <protection locked="0"/>
    </xf>
    <xf numFmtId="0" fontId="9" fillId="7" borderId="52" xfId="3" quotePrefix="1" applyFont="1" applyFill="1" applyBorder="1" applyAlignment="1" applyProtection="1">
      <alignment horizontal="left"/>
    </xf>
    <xf numFmtId="0" fontId="46" fillId="0" borderId="63" xfId="0" applyFont="1" applyBorder="1" applyAlignment="1">
      <alignment horizontal="center"/>
    </xf>
    <xf numFmtId="0" fontId="9" fillId="7" borderId="0" xfId="3" applyFont="1" applyFill="1"/>
    <xf numFmtId="0" fontId="46" fillId="0" borderId="35" xfId="0" applyFont="1" applyBorder="1" applyAlignment="1" applyProtection="1">
      <alignment horizontal="left" vertical="center"/>
      <protection locked="0"/>
    </xf>
    <xf numFmtId="0" fontId="48" fillId="0" borderId="0" xfId="0" applyFont="1" applyAlignment="1">
      <alignment indent="2"/>
    </xf>
    <xf numFmtId="0" fontId="48" fillId="0" borderId="0" xfId="0" applyFont="1" applyAlignment="1">
      <alignment wrapText="1"/>
    </xf>
    <xf numFmtId="0" fontId="50" fillId="7" borderId="0" xfId="0" applyFont="1" applyFill="1"/>
    <xf numFmtId="0" fontId="41" fillId="7" borderId="0" xfId="0" applyFont="1" applyFill="1"/>
    <xf numFmtId="0" fontId="13" fillId="7" borderId="0" xfId="0" applyFont="1" applyFill="1"/>
    <xf numFmtId="0" fontId="53" fillId="7" borderId="0" xfId="0" applyFont="1" applyFill="1"/>
    <xf numFmtId="0" fontId="54" fillId="7" borderId="0" xfId="0" applyFont="1" applyFill="1"/>
    <xf numFmtId="0" fontId="45" fillId="0" borderId="71" xfId="0" applyFont="1" applyBorder="1"/>
    <xf numFmtId="0" fontId="45" fillId="0" borderId="71" xfId="0" applyFont="1" applyBorder="1" applyAlignment="1" applyProtection="1">
      <alignment horizontal="left" vertical="center"/>
      <protection locked="0"/>
    </xf>
    <xf numFmtId="0" fontId="2" fillId="10" borderId="11" xfId="0" applyFont="1" applyFill="1" applyBorder="1" applyAlignment="1">
      <alignment horizontal="center" vertical="center"/>
    </xf>
    <xf numFmtId="0" fontId="2" fillId="10" borderId="85" xfId="0" applyFont="1" applyFill="1" applyBorder="1" applyAlignment="1">
      <alignment horizontal="center" vertical="center"/>
    </xf>
    <xf numFmtId="0" fontId="2" fillId="10" borderId="0" xfId="0" applyFont="1" applyFill="1" applyAlignment="1">
      <alignment horizontal="center" vertical="center" wrapText="1"/>
    </xf>
    <xf numFmtId="0" fontId="0" fillId="0" borderId="18" xfId="0" applyBorder="1" applyAlignment="1">
      <alignment vertical="center" wrapText="1"/>
    </xf>
    <xf numFmtId="0" fontId="42" fillId="0" borderId="13" xfId="0" applyFont="1" applyBorder="1"/>
    <xf numFmtId="0" fontId="4" fillId="7" borderId="7" xfId="0" applyFont="1" applyFill="1" applyBorder="1" applyAlignment="1">
      <alignment vertical="center" wrapText="1"/>
    </xf>
    <xf numFmtId="0" fontId="0" fillId="7" borderId="92" xfId="0" applyFill="1" applyBorder="1" applyAlignment="1">
      <alignment wrapText="1"/>
    </xf>
    <xf numFmtId="0" fontId="56" fillId="0" borderId="1" xfId="0" applyFont="1" applyBorder="1" applyAlignment="1">
      <alignment horizontal="center" vertical="center" wrapText="1"/>
    </xf>
    <xf numFmtId="0" fontId="61" fillId="7" borderId="92" xfId="0" applyFont="1" applyFill="1" applyBorder="1"/>
    <xf numFmtId="0" fontId="0" fillId="22" borderId="49" xfId="0" applyFill="1" applyBorder="1"/>
    <xf numFmtId="0" fontId="0" fillId="22" borderId="43" xfId="0" applyFill="1" applyBorder="1" applyAlignment="1" applyProtection="1">
      <alignment horizontal="left"/>
      <protection locked="0"/>
    </xf>
    <xf numFmtId="2" fontId="0" fillId="22" borderId="6" xfId="0" applyNumberFormat="1" applyFill="1" applyBorder="1" applyAlignment="1" applyProtection="1">
      <alignment horizontal="right"/>
      <protection locked="0"/>
    </xf>
    <xf numFmtId="2" fontId="0" fillId="22" borderId="6" xfId="0" applyNumberFormat="1" applyFill="1" applyBorder="1"/>
    <xf numFmtId="2" fontId="0" fillId="22" borderId="43" xfId="0" applyNumberFormat="1" applyFill="1" applyBorder="1"/>
    <xf numFmtId="0" fontId="0" fillId="22" borderId="8" xfId="0" applyFill="1" applyBorder="1" applyAlignment="1" applyProtection="1">
      <alignment horizontal="left"/>
      <protection locked="0"/>
    </xf>
    <xf numFmtId="0" fontId="0" fillId="22" borderId="40" xfId="0" applyFill="1" applyBorder="1"/>
    <xf numFmtId="0" fontId="0" fillId="22" borderId="73" xfId="0" applyFill="1" applyBorder="1"/>
    <xf numFmtId="0" fontId="0" fillId="22" borderId="6" xfId="0" applyFill="1" applyBorder="1"/>
    <xf numFmtId="0" fontId="0" fillId="22" borderId="1" xfId="0" applyFill="1" applyBorder="1"/>
    <xf numFmtId="0" fontId="2" fillId="22" borderId="74" xfId="0" applyFont="1" applyFill="1" applyBorder="1" applyAlignment="1">
      <alignment vertical="center" wrapText="1"/>
    </xf>
    <xf numFmtId="168" fontId="0" fillId="22" borderId="40" xfId="0" applyNumberFormat="1" applyFill="1" applyBorder="1" applyAlignment="1">
      <alignment vertical="center" wrapText="1"/>
    </xf>
    <xf numFmtId="168" fontId="0" fillId="22" borderId="6" xfId="0" applyNumberFormat="1" applyFill="1" applyBorder="1" applyAlignment="1">
      <alignment vertical="center" wrapText="1"/>
    </xf>
    <xf numFmtId="168" fontId="0" fillId="22" borderId="44" xfId="0" applyNumberFormat="1" applyFill="1" applyBorder="1" applyAlignment="1">
      <alignment vertical="center" wrapText="1"/>
    </xf>
    <xf numFmtId="0" fontId="0" fillId="22" borderId="0" xfId="0" applyFill="1"/>
    <xf numFmtId="169" fontId="0" fillId="22" borderId="40" xfId="0" applyNumberFormat="1" applyFill="1" applyBorder="1" applyAlignment="1">
      <alignment vertical="center" wrapText="1"/>
    </xf>
    <xf numFmtId="169" fontId="0" fillId="22" borderId="6" xfId="0" applyNumberFormat="1" applyFill="1" applyBorder="1" applyAlignment="1">
      <alignment vertical="center" wrapText="1"/>
    </xf>
    <xf numFmtId="169" fontId="0" fillId="22" borderId="6" xfId="0" applyNumberFormat="1" applyFill="1" applyBorder="1"/>
    <xf numFmtId="169" fontId="0" fillId="22" borderId="44" xfId="0" applyNumberFormat="1" applyFill="1" applyBorder="1"/>
    <xf numFmtId="0" fontId="2" fillId="22" borderId="33" xfId="0" applyFont="1" applyFill="1" applyBorder="1" applyAlignment="1">
      <alignment horizontal="center" vertical="center" wrapText="1"/>
    </xf>
    <xf numFmtId="171" fontId="0" fillId="22" borderId="7" xfId="0" applyNumberFormat="1" applyFill="1" applyBorder="1" applyAlignment="1">
      <alignment vertical="center" wrapText="1"/>
    </xf>
    <xf numFmtId="171" fontId="0" fillId="22" borderId="8" xfId="0" applyNumberFormat="1" applyFill="1" applyBorder="1" applyAlignment="1">
      <alignment vertical="center" wrapText="1"/>
    </xf>
    <xf numFmtId="171" fontId="0" fillId="22" borderId="9" xfId="0" applyNumberFormat="1" applyFill="1" applyBorder="1" applyAlignment="1">
      <alignment vertical="center" wrapText="1"/>
    </xf>
    <xf numFmtId="0" fontId="0" fillId="22" borderId="26" xfId="0" applyFill="1" applyBorder="1" applyAlignment="1">
      <alignment horizontal="center"/>
    </xf>
    <xf numFmtId="0" fontId="0" fillId="22" borderId="10" xfId="0" applyFill="1" applyBorder="1"/>
    <xf numFmtId="2" fontId="0" fillId="22" borderId="1" xfId="0" applyNumberFormat="1" applyFill="1" applyBorder="1" applyAlignment="1" applyProtection="1">
      <alignment horizontal="right"/>
      <protection locked="0"/>
    </xf>
    <xf numFmtId="2" fontId="0" fillId="22" borderId="1" xfId="0" applyNumberFormat="1" applyFill="1" applyBorder="1" applyProtection="1">
      <protection locked="0"/>
    </xf>
    <xf numFmtId="2" fontId="0" fillId="22" borderId="2" xfId="0" applyNumberFormat="1" applyFill="1" applyBorder="1"/>
    <xf numFmtId="0" fontId="0" fillId="22" borderId="1" xfId="0" applyFill="1" applyBorder="1" applyAlignment="1" applyProtection="1">
      <alignment horizontal="left"/>
      <protection locked="0"/>
    </xf>
    <xf numFmtId="0" fontId="0" fillId="22" borderId="4" xfId="0" applyFill="1" applyBorder="1"/>
    <xf numFmtId="0" fontId="0" fillId="22" borderId="2" xfId="0" applyFill="1" applyBorder="1"/>
    <xf numFmtId="0" fontId="2" fillId="22" borderId="71" xfId="0" applyFont="1" applyFill="1" applyBorder="1" applyAlignment="1">
      <alignment vertical="center" wrapText="1"/>
    </xf>
    <xf numFmtId="168" fontId="0" fillId="22" borderId="4" xfId="0" applyNumberFormat="1" applyFill="1" applyBorder="1" applyAlignment="1">
      <alignment vertical="center" wrapText="1"/>
    </xf>
    <xf numFmtId="168" fontId="0" fillId="22" borderId="1" xfId="0" applyNumberFormat="1" applyFill="1" applyBorder="1" applyAlignment="1">
      <alignment vertical="center" wrapText="1"/>
    </xf>
    <xf numFmtId="168" fontId="0" fillId="22" borderId="11" xfId="0" applyNumberFormat="1" applyFill="1" applyBorder="1" applyAlignment="1">
      <alignment vertical="center" wrapText="1"/>
    </xf>
    <xf numFmtId="169" fontId="0" fillId="22" borderId="4" xfId="0" applyNumberFormat="1" applyFill="1" applyBorder="1" applyAlignment="1">
      <alignment vertical="center" wrapText="1"/>
    </xf>
    <xf numFmtId="169" fontId="0" fillId="22" borderId="1" xfId="0" applyNumberFormat="1" applyFill="1" applyBorder="1" applyAlignment="1">
      <alignment vertical="center" wrapText="1"/>
    </xf>
    <xf numFmtId="169" fontId="0" fillId="22" borderId="1" xfId="0" applyNumberFormat="1" applyFill="1" applyBorder="1"/>
    <xf numFmtId="169" fontId="0" fillId="22" borderId="11" xfId="0" applyNumberFormat="1" applyFill="1" applyBorder="1"/>
    <xf numFmtId="171" fontId="0" fillId="22" borderId="18" xfId="0" applyNumberFormat="1" applyFill="1" applyBorder="1" applyAlignment="1">
      <alignment vertical="center" wrapText="1"/>
    </xf>
    <xf numFmtId="171" fontId="0" fillId="22" borderId="1" xfId="0" applyNumberFormat="1" applyFill="1" applyBorder="1" applyAlignment="1">
      <alignment vertical="center" wrapText="1"/>
    </xf>
    <xf numFmtId="171" fontId="0" fillId="22" borderId="11" xfId="0" applyNumberFormat="1" applyFill="1" applyBorder="1" applyAlignment="1">
      <alignment vertical="center" wrapText="1"/>
    </xf>
    <xf numFmtId="2" fontId="21" fillId="22" borderId="2" xfId="0" applyNumberFormat="1" applyFont="1" applyFill="1" applyBorder="1" applyAlignment="1">
      <alignment horizontal="right"/>
    </xf>
    <xf numFmtId="0" fontId="0" fillId="22" borderId="46" xfId="0" applyFill="1" applyBorder="1"/>
    <xf numFmtId="2" fontId="0" fillId="22" borderId="11" xfId="0" applyNumberFormat="1" applyFill="1" applyBorder="1" applyAlignment="1">
      <alignment horizontal="center"/>
    </xf>
    <xf numFmtId="2" fontId="0" fillId="22" borderId="1" xfId="0" applyNumberFormat="1" applyFill="1" applyBorder="1"/>
    <xf numFmtId="2" fontId="0" fillId="22" borderId="2" xfId="0" applyNumberFormat="1" applyFill="1" applyBorder="1" applyProtection="1">
      <protection locked="0"/>
    </xf>
    <xf numFmtId="168" fontId="0" fillId="22" borderId="13" xfId="0" applyNumberFormat="1" applyFill="1" applyBorder="1" applyAlignment="1">
      <alignment vertical="center" wrapText="1"/>
    </xf>
    <xf numFmtId="168" fontId="0" fillId="22" borderId="20" xfId="0" applyNumberFormat="1" applyFill="1" applyBorder="1" applyAlignment="1">
      <alignment vertical="center" wrapText="1"/>
    </xf>
    <xf numFmtId="168" fontId="0" fillId="22" borderId="14" xfId="0" applyNumberFormat="1" applyFill="1" applyBorder="1" applyAlignment="1">
      <alignment vertical="center" wrapText="1"/>
    </xf>
    <xf numFmtId="171" fontId="0" fillId="22" borderId="19" xfId="0" applyNumberFormat="1" applyFill="1" applyBorder="1" applyAlignment="1">
      <alignment vertical="center" wrapText="1"/>
    </xf>
    <xf numFmtId="171" fontId="0" fillId="22" borderId="20" xfId="0" applyNumberFormat="1" applyFill="1" applyBorder="1" applyAlignment="1">
      <alignment vertical="center" wrapText="1"/>
    </xf>
    <xf numFmtId="171" fontId="0" fillId="22" borderId="14" xfId="0" applyNumberFormat="1" applyFill="1" applyBorder="1" applyAlignment="1">
      <alignment vertical="center" wrapText="1"/>
    </xf>
    <xf numFmtId="0" fontId="2" fillId="22" borderId="71" xfId="0" applyFont="1" applyFill="1" applyBorder="1"/>
    <xf numFmtId="169" fontId="0" fillId="22" borderId="4" xfId="0" applyNumberFormat="1" applyFill="1" applyBorder="1"/>
    <xf numFmtId="2" fontId="9" fillId="22" borderId="1" xfId="0" applyNumberFormat="1" applyFont="1" applyFill="1" applyBorder="1" applyAlignment="1" applyProtection="1">
      <alignment horizontal="right"/>
      <protection locked="0"/>
    </xf>
    <xf numFmtId="2" fontId="2" fillId="22" borderId="2" xfId="0" applyNumberFormat="1" applyFont="1" applyFill="1" applyBorder="1"/>
    <xf numFmtId="0" fontId="9" fillId="22" borderId="10" xfId="0" applyFont="1" applyFill="1" applyBorder="1"/>
    <xf numFmtId="0" fontId="19" fillId="11" borderId="2" xfId="0" applyFont="1" applyFill="1" applyBorder="1" applyAlignment="1">
      <alignment horizontal="left" vertical="center" wrapText="1"/>
    </xf>
    <xf numFmtId="0" fontId="19" fillId="11" borderId="3" xfId="0" applyFont="1" applyFill="1" applyBorder="1" applyAlignment="1">
      <alignment horizontal="left" vertical="center" wrapText="1"/>
    </xf>
    <xf numFmtId="0" fontId="19" fillId="11" borderId="4" xfId="0" applyFont="1" applyFill="1" applyBorder="1" applyAlignment="1">
      <alignment horizontal="left" vertical="center" wrapText="1"/>
    </xf>
    <xf numFmtId="0" fontId="18" fillId="11" borderId="55" xfId="0" applyFont="1" applyFill="1" applyBorder="1" applyAlignment="1">
      <alignment horizontal="left" vertical="center" wrapText="1"/>
    </xf>
    <xf numFmtId="0" fontId="18" fillId="11" borderId="0" xfId="0" applyFont="1" applyFill="1" applyAlignment="1">
      <alignment horizontal="left" vertical="center" wrapText="1"/>
    </xf>
    <xf numFmtId="0" fontId="18" fillId="11" borderId="54" xfId="0" applyFont="1" applyFill="1" applyBorder="1" applyAlignment="1">
      <alignment horizontal="left" vertical="center" wrapText="1"/>
    </xf>
    <xf numFmtId="0" fontId="18" fillId="0" borderId="2" xfId="0" applyFont="1" applyBorder="1" applyAlignment="1">
      <alignment horizontal="left" vertical="center"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59" fillId="0" borderId="2" xfId="0" applyFont="1" applyBorder="1" applyAlignment="1">
      <alignment horizontal="left" vertical="center" wrapText="1"/>
    </xf>
    <xf numFmtId="0" fontId="59" fillId="0" borderId="3" xfId="0" applyFont="1" applyBorder="1" applyAlignment="1">
      <alignment horizontal="left" vertical="center" wrapText="1"/>
    </xf>
    <xf numFmtId="0" fontId="59" fillId="0" borderId="4" xfId="0" applyFont="1" applyBorder="1" applyAlignment="1">
      <alignment horizontal="left" vertical="center" wrapText="1"/>
    </xf>
    <xf numFmtId="0" fontId="18" fillId="0" borderId="2"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59" fillId="11" borderId="43" xfId="0" applyFont="1" applyFill="1" applyBorder="1" applyAlignment="1">
      <alignment horizontal="left" vertical="center" wrapText="1"/>
    </xf>
    <xf numFmtId="0" fontId="59" fillId="11" borderId="41" xfId="0" applyFont="1" applyFill="1" applyBorder="1" applyAlignment="1">
      <alignment horizontal="left" vertical="center" wrapText="1"/>
    </xf>
    <xf numFmtId="0" fontId="59" fillId="11" borderId="40" xfId="0" applyFont="1" applyFill="1" applyBorder="1" applyAlignment="1">
      <alignment horizontal="left" vertical="center" wrapText="1"/>
    </xf>
    <xf numFmtId="0" fontId="19" fillId="11" borderId="43" xfId="0" applyFont="1" applyFill="1" applyBorder="1" applyAlignment="1">
      <alignment horizontal="left" wrapText="1"/>
    </xf>
    <xf numFmtId="0" fontId="19" fillId="11" borderId="41" xfId="0" applyFont="1" applyFill="1" applyBorder="1" applyAlignment="1">
      <alignment horizontal="left" wrapText="1"/>
    </xf>
    <xf numFmtId="0" fontId="19" fillId="11" borderId="40" xfId="0" applyFont="1" applyFill="1" applyBorder="1" applyAlignment="1">
      <alignment horizontal="left" wrapText="1"/>
    </xf>
    <xf numFmtId="0" fontId="19" fillId="11" borderId="55" xfId="0" applyFont="1" applyFill="1" applyBorder="1" applyAlignment="1">
      <alignment horizontal="left" wrapText="1"/>
    </xf>
    <xf numFmtId="0" fontId="19" fillId="11" borderId="0" xfId="0" applyFont="1" applyFill="1" applyAlignment="1">
      <alignment horizontal="left" wrapText="1"/>
    </xf>
    <xf numFmtId="0" fontId="19" fillId="11" borderId="54" xfId="0" applyFont="1" applyFill="1" applyBorder="1" applyAlignment="1">
      <alignment horizontal="left" wrapText="1"/>
    </xf>
    <xf numFmtId="0" fontId="0" fillId="0" borderId="46" xfId="0" applyBorder="1" applyAlignment="1">
      <alignment horizontal="center"/>
    </xf>
    <xf numFmtId="0" fontId="0" fillId="0" borderId="5" xfId="0" applyBorder="1" applyAlignment="1">
      <alignment horizontal="center"/>
    </xf>
    <xf numFmtId="0" fontId="0" fillId="0" borderId="53" xfId="0" applyBorder="1" applyAlignment="1">
      <alignment horizontal="center"/>
    </xf>
    <xf numFmtId="0" fontId="18" fillId="11" borderId="55" xfId="0" applyFont="1" applyFill="1" applyBorder="1" applyAlignment="1">
      <alignment horizontal="left" vertical="top" wrapText="1"/>
    </xf>
    <xf numFmtId="0" fontId="18" fillId="11" borderId="0" xfId="0" applyFont="1" applyFill="1" applyAlignment="1">
      <alignment horizontal="left" vertical="top" wrapText="1"/>
    </xf>
    <xf numFmtId="0" fontId="18" fillId="11" borderId="54" xfId="0" applyFont="1" applyFill="1" applyBorder="1" applyAlignment="1">
      <alignment horizontal="left" vertical="top" wrapText="1"/>
    </xf>
    <xf numFmtId="0" fontId="59" fillId="11" borderId="55" xfId="0" applyFont="1" applyFill="1" applyBorder="1" applyAlignment="1">
      <alignment horizontal="left" vertical="center" wrapText="1"/>
    </xf>
    <xf numFmtId="0" fontId="59" fillId="11" borderId="0" xfId="0" applyFont="1" applyFill="1" applyAlignment="1">
      <alignment horizontal="left" vertical="center" wrapText="1"/>
    </xf>
    <xf numFmtId="0" fontId="59" fillId="11" borderId="54" xfId="0" applyFont="1" applyFill="1" applyBorder="1" applyAlignment="1">
      <alignment horizontal="left" vertical="center" wrapText="1"/>
    </xf>
    <xf numFmtId="0" fontId="37" fillId="0" borderId="10" xfId="3" applyFont="1" applyFill="1" applyBorder="1" applyAlignment="1" applyProtection="1">
      <alignment horizontal="center" vertical="center"/>
    </xf>
    <xf numFmtId="0" fontId="37" fillId="0" borderId="3" xfId="3" applyFont="1" applyFill="1" applyBorder="1" applyAlignment="1" applyProtection="1">
      <alignment horizontal="center" vertical="center"/>
    </xf>
    <xf numFmtId="0" fontId="37" fillId="0" borderId="21" xfId="3" applyFont="1" applyFill="1" applyBorder="1" applyAlignment="1" applyProtection="1">
      <alignment horizontal="center" vertical="center"/>
    </xf>
    <xf numFmtId="0" fontId="0" fillId="0" borderId="1" xfId="0" applyBorder="1" applyAlignment="1">
      <alignment horizontal="center" vertical="center" wrapText="1"/>
    </xf>
    <xf numFmtId="0" fontId="0" fillId="0" borderId="48" xfId="0" applyBorder="1" applyAlignment="1">
      <alignment horizontal="center" vertical="center" wrapText="1"/>
    </xf>
    <xf numFmtId="0" fontId="0" fillId="0" borderId="6" xfId="0" applyBorder="1" applyAlignment="1">
      <alignment horizontal="center" vertical="center" wrapText="1"/>
    </xf>
    <xf numFmtId="0" fontId="0" fillId="0" borderId="51" xfId="0" applyBorder="1" applyAlignment="1">
      <alignment horizontal="center" vertical="center" wrapText="1"/>
    </xf>
    <xf numFmtId="0" fontId="0" fillId="0" borderId="44" xfId="0" applyBorder="1" applyAlignment="1">
      <alignment horizontal="center" vertical="center" wrapText="1"/>
    </xf>
    <xf numFmtId="0" fontId="0" fillId="0" borderId="39" xfId="0" applyBorder="1" applyAlignment="1">
      <alignment horizontal="center" vertical="center"/>
    </xf>
    <xf numFmtId="0" fontId="0" fillId="0" borderId="90" xfId="0" applyBorder="1" applyAlignment="1">
      <alignment horizontal="center" vertical="center"/>
    </xf>
    <xf numFmtId="0" fontId="0" fillId="0" borderId="30" xfId="0" applyBorder="1" applyAlignment="1">
      <alignment horizontal="center" vertical="center"/>
    </xf>
    <xf numFmtId="0" fontId="0" fillId="0" borderId="48" xfId="0" applyBorder="1" applyAlignment="1">
      <alignment horizontal="center" vertical="center"/>
    </xf>
    <xf numFmtId="0" fontId="0" fillId="0" borderId="50" xfId="0" applyBorder="1" applyAlignment="1">
      <alignment horizontal="center" vertical="center"/>
    </xf>
    <xf numFmtId="0" fontId="0" fillId="0" borderId="6" xfId="0" applyBorder="1" applyAlignment="1">
      <alignment horizontal="center" vertical="center"/>
    </xf>
    <xf numFmtId="0" fontId="0" fillId="0" borderId="50" xfId="0" applyBorder="1" applyAlignment="1">
      <alignment horizontal="center" vertical="center" wrapText="1"/>
    </xf>
    <xf numFmtId="0" fontId="0" fillId="0" borderId="12"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6" borderId="19" xfId="0" applyFill="1" applyBorder="1" applyAlignment="1">
      <alignment horizontal="left" vertical="center"/>
    </xf>
    <xf numFmtId="0" fontId="0" fillId="6" borderId="20" xfId="0" applyFill="1" applyBorder="1" applyAlignment="1">
      <alignment horizontal="left" vertical="center"/>
    </xf>
    <xf numFmtId="0" fontId="37" fillId="0" borderId="5" xfId="3" applyFont="1" applyFill="1" applyBorder="1" applyAlignment="1" applyProtection="1">
      <alignment horizontal="center" vertical="center"/>
    </xf>
    <xf numFmtId="0" fontId="37" fillId="0" borderId="47" xfId="3" applyFont="1" applyFill="1" applyBorder="1" applyAlignment="1" applyProtection="1">
      <alignment horizontal="center" vertical="center"/>
    </xf>
    <xf numFmtId="0" fontId="2" fillId="14" borderId="28" xfId="0" applyFont="1" applyFill="1" applyBorder="1" applyAlignment="1">
      <alignment horizontal="center" vertical="center" wrapText="1"/>
    </xf>
    <xf numFmtId="0" fontId="2" fillId="14" borderId="29" xfId="0" applyFont="1" applyFill="1" applyBorder="1" applyAlignment="1">
      <alignment horizontal="center" vertical="center" wrapText="1"/>
    </xf>
    <xf numFmtId="0" fontId="2" fillId="14" borderId="31" xfId="0" applyFont="1" applyFill="1" applyBorder="1" applyAlignment="1">
      <alignment horizontal="center" vertical="center" wrapText="1"/>
    </xf>
    <xf numFmtId="0" fontId="0" fillId="0" borderId="2" xfId="0"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21" xfId="0"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6" borderId="20" xfId="0" applyFill="1" applyBorder="1" applyAlignment="1" applyProtection="1">
      <alignment horizontal="left" vertical="top" wrapText="1"/>
      <protection locked="0"/>
    </xf>
    <xf numFmtId="0" fontId="0" fillId="6" borderId="14" xfId="0" applyFill="1" applyBorder="1" applyAlignment="1" applyProtection="1">
      <alignment horizontal="left" vertical="top" wrapText="1"/>
      <protection locked="0"/>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10" xfId="0" applyBorder="1" applyAlignment="1">
      <alignment horizontal="left" vertical="top" wrapText="1"/>
    </xf>
    <xf numFmtId="0" fontId="0" fillId="0" borderId="4" xfId="0" applyBorder="1" applyAlignment="1">
      <alignment horizontal="left" vertical="top" wrapText="1"/>
    </xf>
    <xf numFmtId="0" fontId="0" fillId="0" borderId="18" xfId="0" applyBorder="1" applyAlignment="1">
      <alignment horizontal="left" vertical="top" wrapText="1"/>
    </xf>
    <xf numFmtId="0" fontId="0" fillId="0" borderId="1" xfId="0" applyBorder="1" applyAlignment="1">
      <alignment horizontal="left" vertical="top" wrapText="1"/>
    </xf>
    <xf numFmtId="0" fontId="0" fillId="6" borderId="37" xfId="0" applyFill="1" applyBorder="1" applyAlignment="1" applyProtection="1">
      <alignment horizontal="left" vertical="top" wrapText="1"/>
      <protection locked="0"/>
    </xf>
    <xf numFmtId="0" fontId="0" fillId="6" borderId="27" xfId="0" applyFill="1" applyBorder="1" applyAlignment="1" applyProtection="1">
      <alignment horizontal="left" vertical="top" wrapText="1"/>
      <protection locked="0"/>
    </xf>
    <xf numFmtId="0" fontId="0" fillId="6" borderId="36" xfId="0" applyFill="1" applyBorder="1" applyAlignment="1" applyProtection="1">
      <alignment horizontal="left" vertical="top" wrapText="1"/>
      <protection locked="0"/>
    </xf>
    <xf numFmtId="0" fontId="2" fillId="3" borderId="15" xfId="0" applyFont="1" applyFill="1" applyBorder="1" applyAlignment="1">
      <alignment horizontal="center" vertical="center"/>
    </xf>
    <xf numFmtId="0" fontId="2" fillId="3" borderId="16" xfId="0" applyFont="1" applyFill="1" applyBorder="1" applyAlignment="1">
      <alignment horizontal="center" vertical="center"/>
    </xf>
    <xf numFmtId="0" fontId="2" fillId="3" borderId="17" xfId="0" applyFont="1" applyFill="1" applyBorder="1" applyAlignment="1">
      <alignment horizontal="center" vertical="center"/>
    </xf>
    <xf numFmtId="0" fontId="37" fillId="0" borderId="48" xfId="3" applyFont="1" applyFill="1" applyBorder="1" applyAlignment="1" applyProtection="1">
      <alignment horizontal="center" vertical="top" wrapText="1"/>
    </xf>
    <xf numFmtId="0" fontId="37" fillId="0" borderId="50" xfId="3" applyFont="1" applyFill="1" applyBorder="1" applyAlignment="1" applyProtection="1">
      <alignment horizontal="center" vertical="top" wrapText="1"/>
    </xf>
    <xf numFmtId="0" fontId="37" fillId="0" borderId="46" xfId="3" applyFont="1" applyFill="1" applyBorder="1" applyAlignment="1" applyProtection="1">
      <alignment horizontal="center" vertical="top" wrapText="1"/>
    </xf>
    <xf numFmtId="0" fontId="37" fillId="0" borderId="55" xfId="3" applyFont="1" applyFill="1" applyBorder="1" applyAlignment="1" applyProtection="1">
      <alignment horizontal="center" vertical="top" wrapText="1"/>
    </xf>
    <xf numFmtId="0" fontId="0" fillId="0" borderId="18" xfId="0" applyBorder="1" applyAlignment="1">
      <alignment vertical="center"/>
    </xf>
    <xf numFmtId="0" fontId="0" fillId="0" borderId="1" xfId="0" applyBorder="1" applyAlignment="1">
      <alignment vertical="center"/>
    </xf>
    <xf numFmtId="0" fontId="0" fillId="0" borderId="19" xfId="0" applyBorder="1" applyAlignment="1">
      <alignment vertical="center"/>
    </xf>
    <xf numFmtId="0" fontId="0" fillId="0" borderId="20" xfId="0" applyBorder="1" applyAlignment="1">
      <alignment vertical="center"/>
    </xf>
    <xf numFmtId="0" fontId="37" fillId="0" borderId="48" xfId="3" applyFont="1" applyFill="1" applyBorder="1" applyAlignment="1" applyProtection="1">
      <alignment horizontal="center" vertical="center" wrapText="1"/>
    </xf>
    <xf numFmtId="0" fontId="37" fillId="0" borderId="6" xfId="3" applyFont="1" applyFill="1" applyBorder="1" applyAlignment="1" applyProtection="1">
      <alignment horizontal="center" vertical="center" wrapText="1"/>
    </xf>
    <xf numFmtId="0" fontId="37" fillId="0" borderId="2" xfId="3" applyFont="1" applyFill="1" applyBorder="1" applyAlignment="1" applyProtection="1">
      <alignment horizontal="center" vertical="center" wrapText="1"/>
    </xf>
    <xf numFmtId="0" fontId="0" fillId="6" borderId="18" xfId="0" applyFill="1" applyBorder="1" applyAlignment="1">
      <alignment vertical="center"/>
    </xf>
    <xf numFmtId="0" fontId="0" fillId="6" borderId="1" xfId="0" applyFill="1" applyBorder="1" applyAlignment="1">
      <alignment vertical="center"/>
    </xf>
    <xf numFmtId="0" fontId="1" fillId="13" borderId="20" xfId="2" applyNumberFormat="1" applyFill="1" applyBorder="1" applyAlignment="1">
      <alignment horizontal="center" vertical="center"/>
    </xf>
    <xf numFmtId="0" fontId="1" fillId="13" borderId="14" xfId="2" applyNumberFormat="1" applyFill="1" applyBorder="1" applyAlignment="1">
      <alignment horizontal="center" vertical="center"/>
    </xf>
    <xf numFmtId="1" fontId="0" fillId="0" borderId="6" xfId="2" applyNumberFormat="1" applyFont="1" applyFill="1" applyBorder="1" applyAlignment="1" applyProtection="1">
      <alignment horizontal="center"/>
      <protection locked="0"/>
    </xf>
    <xf numFmtId="1" fontId="0" fillId="0" borderId="44" xfId="2" applyNumberFormat="1" applyFont="1" applyFill="1" applyBorder="1" applyAlignment="1" applyProtection="1">
      <alignment horizontal="center"/>
      <protection locked="0"/>
    </xf>
    <xf numFmtId="0" fontId="1" fillId="0" borderId="1" xfId="2" applyNumberFormat="1" applyFill="1" applyAlignment="1" applyProtection="1">
      <alignment horizontal="center"/>
      <protection locked="0"/>
    </xf>
    <xf numFmtId="0" fontId="1" fillId="0" borderId="11" xfId="2" applyNumberFormat="1" applyFill="1" applyBorder="1" applyAlignment="1" applyProtection="1">
      <alignment horizontal="center"/>
      <protection locked="0"/>
    </xf>
    <xf numFmtId="1" fontId="1" fillId="0" borderId="1" xfId="2" applyNumberFormat="1" applyFill="1" applyAlignment="1" applyProtection="1">
      <alignment horizontal="center"/>
      <protection locked="0"/>
    </xf>
    <xf numFmtId="1" fontId="1" fillId="0" borderId="11" xfId="2" applyNumberFormat="1" applyFill="1" applyBorder="1" applyAlignment="1" applyProtection="1">
      <alignment horizontal="center"/>
      <protection locked="0"/>
    </xf>
    <xf numFmtId="0" fontId="2" fillId="15" borderId="7" xfId="0" applyFont="1" applyFill="1" applyBorder="1" applyAlignment="1">
      <alignment horizontal="center"/>
    </xf>
    <xf numFmtId="0" fontId="2" fillId="15" borderId="8" xfId="0" applyFont="1" applyFill="1" applyBorder="1" applyAlignment="1">
      <alignment horizontal="center"/>
    </xf>
    <xf numFmtId="0" fontId="2" fillId="15" borderId="9" xfId="0" applyFont="1" applyFill="1" applyBorder="1" applyAlignment="1">
      <alignment horizontal="center"/>
    </xf>
    <xf numFmtId="0" fontId="0" fillId="0" borderId="32" xfId="0" applyBorder="1" applyAlignment="1">
      <alignment horizontal="left" vertical="top" wrapText="1"/>
    </xf>
    <xf numFmtId="0" fontId="0" fillId="0" borderId="57" xfId="0" applyBorder="1" applyAlignment="1">
      <alignment horizontal="left" vertical="top" wrapText="1"/>
    </xf>
    <xf numFmtId="0" fontId="2" fillId="21" borderId="15" xfId="0" applyFont="1" applyFill="1" applyBorder="1" applyAlignment="1">
      <alignment horizontal="center"/>
    </xf>
    <xf numFmtId="0" fontId="2" fillId="21" borderId="16" xfId="0" applyFont="1" applyFill="1" applyBorder="1" applyAlignment="1">
      <alignment horizontal="center"/>
    </xf>
    <xf numFmtId="0" fontId="2" fillId="21" borderId="17" xfId="0" applyFont="1" applyFill="1" applyBorder="1" applyAlignment="1">
      <alignment horizontal="center"/>
    </xf>
    <xf numFmtId="0" fontId="0" fillId="0" borderId="18" xfId="0" applyBorder="1" applyAlignment="1">
      <alignment horizontal="left" vertical="center" wrapText="1"/>
    </xf>
    <xf numFmtId="0" fontId="0" fillId="0" borderId="1" xfId="0" applyBorder="1" applyAlignment="1">
      <alignment horizontal="left" vertical="center" wrapText="1"/>
    </xf>
    <xf numFmtId="0" fontId="37" fillId="0" borderId="25" xfId="3" applyFont="1" applyFill="1" applyBorder="1" applyAlignment="1" applyProtection="1">
      <alignment horizontal="center" vertical="center"/>
    </xf>
    <xf numFmtId="0" fontId="37" fillId="0" borderId="0" xfId="3" applyFont="1" applyFill="1" applyBorder="1" applyAlignment="1" applyProtection="1">
      <alignment horizontal="center" vertical="center"/>
    </xf>
    <xf numFmtId="0" fontId="37" fillId="0" borderId="26" xfId="3" applyFont="1" applyFill="1" applyBorder="1" applyAlignment="1" applyProtection="1">
      <alignment horizontal="center" vertical="center"/>
    </xf>
    <xf numFmtId="0" fontId="0" fillId="6" borderId="52" xfId="0" applyFill="1" applyBorder="1" applyAlignment="1">
      <alignment horizontal="left" vertical="center" wrapText="1"/>
    </xf>
    <xf numFmtId="0" fontId="0" fillId="6" borderId="53" xfId="0" applyFill="1" applyBorder="1" applyAlignment="1">
      <alignment horizontal="left" vertical="center" wrapText="1"/>
    </xf>
    <xf numFmtId="0" fontId="0" fillId="6" borderId="25" xfId="0" applyFill="1" applyBorder="1" applyAlignment="1">
      <alignment horizontal="left" vertical="center" wrapText="1"/>
    </xf>
    <xf numFmtId="0" fontId="0" fillId="6" borderId="54" xfId="0" applyFill="1" applyBorder="1" applyAlignment="1">
      <alignment horizontal="left" vertical="center" wrapText="1"/>
    </xf>
    <xf numFmtId="0" fontId="0" fillId="6" borderId="49" xfId="0" applyFill="1" applyBorder="1" applyAlignment="1">
      <alignment horizontal="left" vertical="center" wrapText="1"/>
    </xf>
    <xf numFmtId="0" fontId="0" fillId="6" borderId="40" xfId="0" applyFill="1" applyBorder="1" applyAlignment="1">
      <alignment horizontal="left" vertical="center" wrapText="1"/>
    </xf>
    <xf numFmtId="0" fontId="2" fillId="3" borderId="15" xfId="0" applyFont="1" applyFill="1" applyBorder="1" applyAlignment="1">
      <alignment horizontal="center"/>
    </xf>
    <xf numFmtId="0" fontId="2" fillId="3" borderId="16" xfId="0" applyFont="1" applyFill="1" applyBorder="1" applyAlignment="1">
      <alignment horizontal="center"/>
    </xf>
    <xf numFmtId="0" fontId="2" fillId="3" borderId="17" xfId="0" applyFont="1" applyFill="1" applyBorder="1" applyAlignment="1">
      <alignment horizontal="center"/>
    </xf>
    <xf numFmtId="0" fontId="0" fillId="0" borderId="1" xfId="0" applyBorder="1" applyAlignment="1" applyProtection="1">
      <alignment horizontal="center"/>
      <protection locked="0"/>
    </xf>
    <xf numFmtId="0" fontId="0" fillId="0" borderId="11" xfId="0" applyBorder="1" applyAlignment="1" applyProtection="1">
      <alignment horizontal="center"/>
      <protection locked="0"/>
    </xf>
    <xf numFmtId="2" fontId="0" fillId="7" borderId="20" xfId="2" applyFont="1" applyFill="1" applyBorder="1" applyAlignment="1" applyProtection="1">
      <alignment horizontal="center"/>
      <protection locked="0"/>
    </xf>
    <xf numFmtId="2" fontId="0" fillId="7" borderId="14" xfId="2" applyFont="1" applyFill="1" applyBorder="1" applyAlignment="1" applyProtection="1">
      <alignment horizontal="center"/>
      <protection locked="0"/>
    </xf>
    <xf numFmtId="0" fontId="0" fillId="0" borderId="1" xfId="2" applyNumberFormat="1" applyFont="1" applyFill="1" applyAlignment="1" applyProtection="1">
      <alignment horizontal="center"/>
      <protection locked="0"/>
    </xf>
    <xf numFmtId="0" fontId="0" fillId="0" borderId="11" xfId="2" applyNumberFormat="1" applyFont="1" applyFill="1" applyBorder="1" applyAlignment="1" applyProtection="1">
      <alignment horizontal="center"/>
      <protection locked="0"/>
    </xf>
    <xf numFmtId="1" fontId="0" fillId="0" borderId="1" xfId="2" applyNumberFormat="1" applyFont="1" applyFill="1" applyAlignment="1" applyProtection="1">
      <alignment horizontal="center"/>
      <protection locked="0"/>
    </xf>
    <xf numFmtId="1" fontId="0" fillId="0" borderId="11" xfId="2" applyNumberFormat="1" applyFont="1" applyFill="1" applyBorder="1" applyAlignment="1" applyProtection="1">
      <alignment horizontal="center"/>
      <protection locked="0"/>
    </xf>
    <xf numFmtId="0" fontId="2" fillId="10" borderId="0" xfId="0" applyFont="1" applyFill="1" applyAlignment="1">
      <alignment horizontal="center" vertical="center" wrapText="1"/>
    </xf>
    <xf numFmtId="0" fontId="0" fillId="0" borderId="18" xfId="0" applyBorder="1" applyAlignment="1">
      <alignment vertical="center" wrapText="1"/>
    </xf>
    <xf numFmtId="0" fontId="0" fillId="0" borderId="1" xfId="0" applyBorder="1" applyAlignment="1">
      <alignment vertical="center" wrapText="1"/>
    </xf>
    <xf numFmtId="0" fontId="2" fillId="4" borderId="15" xfId="0" applyFont="1" applyFill="1" applyBorder="1" applyAlignment="1">
      <alignment horizontal="center" vertical="center" wrapText="1"/>
    </xf>
    <xf numFmtId="0" fontId="2" fillId="4" borderId="16" xfId="0" applyFont="1" applyFill="1" applyBorder="1" applyAlignment="1">
      <alignment horizontal="center" vertical="center" wrapText="1"/>
    </xf>
    <xf numFmtId="0" fontId="2" fillId="4" borderId="17" xfId="0" applyFont="1" applyFill="1" applyBorder="1" applyAlignment="1">
      <alignment horizontal="center" vertical="center" wrapText="1"/>
    </xf>
    <xf numFmtId="0" fontId="4" fillId="19" borderId="39" xfId="0" applyFont="1" applyFill="1" applyBorder="1" applyAlignment="1">
      <alignment horizontal="left" vertical="center" wrapText="1"/>
    </xf>
    <xf numFmtId="0" fontId="4" fillId="19" borderId="90" xfId="0" applyFont="1" applyFill="1" applyBorder="1" applyAlignment="1">
      <alignment horizontal="left" vertical="center" wrapText="1"/>
    </xf>
    <xf numFmtId="0" fontId="0" fillId="0" borderId="10" xfId="0" applyBorder="1" applyAlignment="1">
      <alignment horizontal="left" vertical="center" wrapText="1"/>
    </xf>
    <xf numFmtId="0" fontId="0" fillId="0" borderId="4" xfId="0" applyBorder="1" applyAlignment="1">
      <alignment horizontal="left" vertical="center" wrapText="1"/>
    </xf>
    <xf numFmtId="0" fontId="4" fillId="19" borderId="10" xfId="0" applyFont="1" applyFill="1" applyBorder="1" applyAlignment="1">
      <alignment horizontal="left" vertical="center" wrapText="1"/>
    </xf>
    <xf numFmtId="0" fontId="4" fillId="19" borderId="4" xfId="0" applyFont="1" applyFill="1" applyBorder="1" applyAlignment="1">
      <alignment horizontal="left" vertical="center" wrapText="1"/>
    </xf>
    <xf numFmtId="0" fontId="0" fillId="19" borderId="2" xfId="0" applyFill="1" applyBorder="1" applyAlignment="1" applyProtection="1">
      <alignment horizontal="center" vertical="center"/>
      <protection locked="0"/>
    </xf>
    <xf numFmtId="0" fontId="0" fillId="19" borderId="3" xfId="0" applyFill="1" applyBorder="1" applyAlignment="1" applyProtection="1">
      <alignment horizontal="center" vertical="center"/>
      <protection locked="0"/>
    </xf>
    <xf numFmtId="0" fontId="0" fillId="19" borderId="21" xfId="0" applyFill="1" applyBorder="1" applyAlignment="1" applyProtection="1">
      <alignment horizontal="center" vertical="center"/>
      <protection locked="0"/>
    </xf>
    <xf numFmtId="0" fontId="37" fillId="0" borderId="10" xfId="3" applyFont="1" applyFill="1" applyBorder="1" applyAlignment="1" applyProtection="1">
      <alignment horizontal="center" vertical="center" wrapText="1"/>
    </xf>
    <xf numFmtId="0" fontId="37" fillId="0" borderId="3" xfId="3" applyFont="1" applyFill="1" applyBorder="1" applyAlignment="1" applyProtection="1">
      <alignment horizontal="center" vertical="center" wrapText="1"/>
    </xf>
    <xf numFmtId="0" fontId="37" fillId="0" borderId="21" xfId="3" applyFont="1" applyFill="1" applyBorder="1" applyAlignment="1" applyProtection="1">
      <alignment horizontal="center" vertical="center" wrapText="1"/>
    </xf>
    <xf numFmtId="0" fontId="2" fillId="12" borderId="7" xfId="0" applyFont="1" applyFill="1" applyBorder="1" applyAlignment="1">
      <alignment horizontal="center" vertical="center"/>
    </xf>
    <xf numFmtId="0" fontId="2" fillId="12" borderId="9" xfId="0" applyFont="1" applyFill="1" applyBorder="1" applyAlignment="1">
      <alignment horizontal="center" vertical="center"/>
    </xf>
    <xf numFmtId="0" fontId="2" fillId="3" borderId="28" xfId="0" applyFont="1" applyFill="1" applyBorder="1" applyAlignment="1">
      <alignment horizontal="center"/>
    </xf>
    <xf numFmtId="0" fontId="2" fillId="3" borderId="29" xfId="0" applyFont="1" applyFill="1" applyBorder="1" applyAlignment="1">
      <alignment horizontal="center"/>
    </xf>
    <xf numFmtId="0" fontId="2" fillId="3" borderId="31" xfId="0" applyFont="1" applyFill="1" applyBorder="1" applyAlignment="1">
      <alignment horizontal="center"/>
    </xf>
    <xf numFmtId="0" fontId="37" fillId="0" borderId="25" xfId="3" applyFont="1" applyFill="1" applyBorder="1" applyAlignment="1" applyProtection="1">
      <alignment horizontal="center" vertical="center" wrapText="1"/>
    </xf>
    <xf numFmtId="0" fontId="37" fillId="0" borderId="0" xfId="3" applyFont="1" applyFill="1" applyBorder="1" applyAlignment="1" applyProtection="1">
      <alignment horizontal="center" vertical="center" wrapText="1"/>
    </xf>
    <xf numFmtId="0" fontId="37" fillId="0" borderId="26" xfId="3" applyFont="1" applyFill="1" applyBorder="1" applyAlignment="1" applyProtection="1">
      <alignment horizontal="center" vertical="center" wrapText="1"/>
    </xf>
    <xf numFmtId="0" fontId="37" fillId="0" borderId="18" xfId="3" applyFont="1" applyBorder="1" applyAlignment="1">
      <alignment horizontal="center"/>
    </xf>
    <xf numFmtId="0" fontId="37" fillId="0" borderId="11" xfId="3" applyFont="1" applyBorder="1" applyAlignment="1">
      <alignment horizontal="center"/>
    </xf>
    <xf numFmtId="0" fontId="4" fillId="19" borderId="18" xfId="0" applyFont="1" applyFill="1" applyBorder="1" applyAlignment="1">
      <alignment horizontal="left" vertical="center"/>
    </xf>
    <xf numFmtId="0" fontId="4" fillId="19" borderId="1" xfId="0" applyFont="1" applyFill="1" applyBorder="1" applyAlignment="1">
      <alignment horizontal="left" vertical="center"/>
    </xf>
    <xf numFmtId="0" fontId="0" fillId="19" borderId="1" xfId="0" applyFill="1" applyBorder="1" applyAlignment="1" applyProtection="1">
      <alignment horizontal="center" vertical="center"/>
      <protection locked="0"/>
    </xf>
    <xf numFmtId="0" fontId="0" fillId="19" borderId="11" xfId="0" applyFill="1" applyBorder="1" applyAlignment="1" applyProtection="1">
      <alignment horizontal="center" vertical="center"/>
      <protection locked="0"/>
    </xf>
    <xf numFmtId="0" fontId="2" fillId="4" borderId="28"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2" fillId="4" borderId="31" xfId="0" applyFont="1" applyFill="1" applyBorder="1" applyAlignment="1">
      <alignment horizontal="center" vertical="center" wrapText="1"/>
    </xf>
    <xf numFmtId="0" fontId="0" fillId="6" borderId="2" xfId="0" applyFill="1" applyBorder="1" applyAlignment="1" applyProtection="1">
      <alignment horizontal="left" vertical="center" wrapText="1"/>
      <protection locked="0"/>
    </xf>
    <xf numFmtId="0" fontId="0" fillId="6" borderId="3" xfId="0" applyFill="1" applyBorder="1" applyAlignment="1" applyProtection="1">
      <alignment horizontal="left" vertical="center" wrapText="1"/>
      <protection locked="0"/>
    </xf>
    <xf numFmtId="0" fontId="0" fillId="6" borderId="21" xfId="0" applyFill="1" applyBorder="1" applyAlignment="1" applyProtection="1">
      <alignment horizontal="left" vertical="center" wrapText="1"/>
      <protection locked="0"/>
    </xf>
    <xf numFmtId="0" fontId="0" fillId="6" borderId="37" xfId="0" applyFill="1" applyBorder="1" applyAlignment="1" applyProtection="1">
      <alignment horizontal="left" vertical="center" wrapText="1"/>
      <protection locked="0"/>
    </xf>
    <xf numFmtId="0" fontId="0" fillId="6" borderId="27" xfId="0" applyFill="1" applyBorder="1" applyAlignment="1" applyProtection="1">
      <alignment horizontal="left" vertical="center" wrapText="1"/>
      <protection locked="0"/>
    </xf>
    <xf numFmtId="0" fontId="0" fillId="6" borderId="36" xfId="0" applyFill="1" applyBorder="1" applyAlignment="1" applyProtection="1">
      <alignment horizontal="left" vertical="center" wrapText="1"/>
      <protection locked="0"/>
    </xf>
    <xf numFmtId="0" fontId="2" fillId="0" borderId="25" xfId="0" applyFont="1" applyBorder="1" applyAlignment="1">
      <alignment horizontal="center" vertical="center"/>
    </xf>
    <xf numFmtId="0" fontId="37" fillId="0" borderId="48" xfId="3" applyFont="1" applyFill="1" applyBorder="1" applyAlignment="1" applyProtection="1">
      <alignment horizontal="center" vertical="center"/>
    </xf>
    <xf numFmtId="0" fontId="37" fillId="0" borderId="50" xfId="3" applyFont="1" applyFill="1" applyBorder="1" applyAlignment="1" applyProtection="1">
      <alignment horizontal="center" vertical="center"/>
    </xf>
    <xf numFmtId="0" fontId="37" fillId="0" borderId="6" xfId="3" applyFont="1" applyFill="1" applyBorder="1" applyAlignment="1" applyProtection="1">
      <alignment horizontal="center" vertical="center"/>
    </xf>
    <xf numFmtId="0" fontId="37" fillId="0" borderId="51" xfId="3" applyFont="1" applyFill="1" applyBorder="1" applyAlignment="1" applyProtection="1">
      <alignment horizontal="center" vertical="center" wrapText="1"/>
    </xf>
    <xf numFmtId="0" fontId="37" fillId="0" borderId="85" xfId="3" applyFont="1" applyFill="1" applyBorder="1" applyAlignment="1" applyProtection="1">
      <alignment horizontal="center" vertical="center" wrapText="1"/>
    </xf>
    <xf numFmtId="0" fontId="37" fillId="0" borderId="44" xfId="3" applyFont="1" applyFill="1" applyBorder="1" applyAlignment="1" applyProtection="1">
      <alignment horizontal="center" vertical="center" wrapText="1"/>
    </xf>
    <xf numFmtId="0" fontId="0" fillId="0" borderId="39" xfId="0" applyBorder="1" applyAlignment="1">
      <alignment horizontal="left" vertical="center" wrapText="1"/>
    </xf>
    <xf numFmtId="0" fontId="0" fillId="0" borderId="90" xfId="0" applyBorder="1" applyAlignment="1">
      <alignment horizontal="left" vertical="center" wrapText="1"/>
    </xf>
    <xf numFmtId="0" fontId="0" fillId="0" borderId="32" xfId="0" applyBorder="1" applyAlignment="1">
      <alignment horizontal="left" vertical="center" wrapText="1"/>
    </xf>
    <xf numFmtId="0" fontId="4" fillId="19" borderId="2" xfId="0" applyFont="1" applyFill="1" applyBorder="1" applyAlignment="1">
      <alignment horizontal="center" vertical="top" wrapText="1"/>
    </xf>
    <xf numFmtId="0" fontId="4" fillId="19" borderId="3" xfId="0" applyFont="1" applyFill="1" applyBorder="1" applyAlignment="1">
      <alignment horizontal="center" vertical="top" wrapText="1"/>
    </xf>
    <xf numFmtId="0" fontId="4" fillId="19" borderId="4" xfId="0" applyFont="1" applyFill="1" applyBorder="1" applyAlignment="1">
      <alignment horizontal="center" vertical="top" wrapText="1"/>
    </xf>
    <xf numFmtId="0" fontId="0" fillId="19" borderId="2" xfId="0" applyFill="1" applyBorder="1" applyAlignment="1" applyProtection="1">
      <alignment horizontal="center" vertical="top" wrapText="1"/>
      <protection locked="0"/>
    </xf>
    <xf numFmtId="0" fontId="0" fillId="19" borderId="3" xfId="0" applyFill="1" applyBorder="1" applyAlignment="1" applyProtection="1">
      <alignment horizontal="center" vertical="top" wrapText="1"/>
      <protection locked="0"/>
    </xf>
    <xf numFmtId="0" fontId="0" fillId="19" borderId="21" xfId="0" applyFill="1" applyBorder="1" applyAlignment="1" applyProtection="1">
      <alignment horizontal="center" vertical="top" wrapText="1"/>
      <protection locked="0"/>
    </xf>
    <xf numFmtId="0" fontId="25" fillId="19" borderId="3" xfId="0" applyFont="1" applyFill="1" applyBorder="1" applyAlignment="1">
      <alignment horizontal="center" wrapText="1"/>
    </xf>
    <xf numFmtId="0" fontId="10" fillId="19" borderId="18" xfId="3" applyFont="1" applyFill="1" applyBorder="1" applyAlignment="1" applyProtection="1">
      <alignment horizontal="left" vertical="center" wrapText="1"/>
    </xf>
    <xf numFmtId="0" fontId="10" fillId="19" borderId="1" xfId="3" applyFont="1" applyFill="1" applyBorder="1" applyAlignment="1" applyProtection="1">
      <alignment horizontal="left" vertical="center" wrapText="1"/>
    </xf>
    <xf numFmtId="2" fontId="0" fillId="13" borderId="73" xfId="2" applyFont="1" applyFill="1" applyBorder="1" applyAlignment="1">
      <alignment horizontal="center"/>
    </xf>
    <xf numFmtId="2" fontId="0" fillId="13" borderId="16" xfId="2" applyFont="1" applyFill="1" applyBorder="1" applyAlignment="1">
      <alignment horizontal="center"/>
    </xf>
    <xf numFmtId="2" fontId="0" fillId="13" borderId="24" xfId="2" applyFont="1" applyFill="1" applyBorder="1" applyAlignment="1">
      <alignment horizontal="center"/>
    </xf>
    <xf numFmtId="2" fontId="0" fillId="13" borderId="2" xfId="2" applyFont="1" applyFill="1" applyBorder="1" applyAlignment="1">
      <alignment horizontal="center"/>
    </xf>
    <xf numFmtId="2" fontId="0" fillId="13" borderId="3" xfId="2" applyFont="1" applyFill="1" applyBorder="1" applyAlignment="1">
      <alignment horizontal="center"/>
    </xf>
    <xf numFmtId="2" fontId="0" fillId="13" borderId="4" xfId="2" applyFont="1" applyFill="1" applyBorder="1" applyAlignment="1">
      <alignment horizontal="center"/>
    </xf>
    <xf numFmtId="2" fontId="0" fillId="6" borderId="2" xfId="0" applyNumberFormat="1" applyFill="1" applyBorder="1" applyAlignment="1" applyProtection="1">
      <alignment horizontal="right"/>
      <protection locked="0"/>
    </xf>
    <xf numFmtId="2" fontId="0" fillId="6" borderId="3" xfId="0" applyNumberFormat="1" applyFill="1" applyBorder="1" applyAlignment="1" applyProtection="1">
      <alignment horizontal="right"/>
      <protection locked="0"/>
    </xf>
    <xf numFmtId="2" fontId="0" fillId="6" borderId="4" xfId="0" applyNumberFormat="1" applyFill="1" applyBorder="1" applyAlignment="1" applyProtection="1">
      <alignment horizontal="right"/>
      <protection locked="0"/>
    </xf>
    <xf numFmtId="2" fontId="0" fillId="6" borderId="1" xfId="0" applyNumberFormat="1" applyFill="1" applyBorder="1" applyAlignment="1" applyProtection="1">
      <alignment horizontal="right"/>
      <protection locked="0"/>
    </xf>
    <xf numFmtId="2" fontId="0" fillId="6" borderId="37" xfId="0" applyNumberFormat="1" applyFill="1" applyBorder="1" applyAlignment="1" applyProtection="1">
      <alignment horizontal="right"/>
      <protection locked="0"/>
    </xf>
    <xf numFmtId="2" fontId="0" fillId="6" borderId="27" xfId="0" applyNumberFormat="1" applyFill="1" applyBorder="1" applyAlignment="1" applyProtection="1">
      <alignment horizontal="right"/>
      <protection locked="0"/>
    </xf>
    <xf numFmtId="2" fontId="0" fillId="6" borderId="13" xfId="0" applyNumberFormat="1" applyFill="1" applyBorder="1" applyAlignment="1" applyProtection="1">
      <alignment horizontal="right"/>
      <protection locked="0"/>
    </xf>
    <xf numFmtId="2" fontId="0" fillId="6" borderId="6" xfId="0" applyNumberFormat="1" applyFill="1" applyBorder="1" applyAlignment="1" applyProtection="1">
      <alignment horizontal="right"/>
      <protection locked="0"/>
    </xf>
    <xf numFmtId="0" fontId="0" fillId="6" borderId="1" xfId="0" applyFill="1" applyBorder="1" applyAlignment="1" applyProtection="1">
      <alignment horizontal="center"/>
      <protection locked="0"/>
    </xf>
    <xf numFmtId="0" fontId="0" fillId="6" borderId="48" xfId="0" applyFill="1" applyBorder="1" applyAlignment="1" applyProtection="1">
      <alignment horizontal="center"/>
      <protection locked="0"/>
    </xf>
    <xf numFmtId="0" fontId="37" fillId="0" borderId="49" xfId="3" applyFont="1" applyFill="1" applyBorder="1" applyAlignment="1" applyProtection="1">
      <alignment horizontal="center" vertical="center" wrapText="1"/>
    </xf>
    <xf numFmtId="0" fontId="37" fillId="0" borderId="41" xfId="3" applyFont="1" applyFill="1" applyBorder="1" applyAlignment="1" applyProtection="1">
      <alignment horizontal="center" vertical="center" wrapText="1"/>
    </xf>
    <xf numFmtId="0" fontId="37" fillId="0" borderId="56" xfId="3" applyFont="1" applyFill="1" applyBorder="1" applyAlignment="1" applyProtection="1">
      <alignment horizontal="center" vertical="center" wrapText="1"/>
    </xf>
    <xf numFmtId="170" fontId="1" fillId="13" borderId="1" xfId="2" applyNumberFormat="1" applyFill="1" applyAlignment="1">
      <alignment horizontal="right"/>
    </xf>
    <xf numFmtId="170" fontId="1" fillId="13" borderId="11" xfId="2" applyNumberFormat="1" applyFill="1" applyBorder="1" applyAlignment="1">
      <alignment horizontal="right"/>
    </xf>
    <xf numFmtId="0" fontId="37" fillId="0" borderId="52" xfId="3" applyFont="1" applyFill="1" applyBorder="1" applyAlignment="1" applyProtection="1">
      <alignment horizontal="center" vertical="center"/>
    </xf>
    <xf numFmtId="0" fontId="37" fillId="0" borderId="62" xfId="3" applyFont="1" applyFill="1" applyBorder="1" applyAlignment="1" applyProtection="1">
      <alignment horizontal="center" vertical="center"/>
    </xf>
    <xf numFmtId="0" fontId="2" fillId="3" borderId="59" xfId="0" applyFont="1" applyFill="1" applyBorder="1" applyAlignment="1">
      <alignment horizontal="center"/>
    </xf>
    <xf numFmtId="0" fontId="2" fillId="4" borderId="38" xfId="0" applyFont="1" applyFill="1" applyBorder="1" applyAlignment="1">
      <alignment horizontal="center"/>
    </xf>
    <xf numFmtId="0" fontId="2" fillId="4" borderId="67" xfId="0" applyFont="1" applyFill="1" applyBorder="1" applyAlignment="1">
      <alignment horizontal="center"/>
    </xf>
    <xf numFmtId="0" fontId="2" fillId="3" borderId="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37" fillId="0" borderId="18" xfId="3" applyFont="1" applyFill="1" applyBorder="1" applyAlignment="1" applyProtection="1">
      <alignment horizontal="center" vertical="center"/>
    </xf>
    <xf numFmtId="0" fontId="37" fillId="0" borderId="1" xfId="3" applyFont="1" applyFill="1" applyBorder="1" applyAlignment="1" applyProtection="1">
      <alignment horizontal="center" vertical="center"/>
    </xf>
    <xf numFmtId="0" fontId="37" fillId="0" borderId="11" xfId="3" applyFont="1" applyFill="1" applyBorder="1" applyAlignment="1" applyProtection="1">
      <alignment horizontal="center" vertical="center"/>
    </xf>
    <xf numFmtId="2" fontId="0" fillId="0" borderId="1" xfId="0" applyNumberFormat="1" applyBorder="1" applyAlignment="1" applyProtection="1">
      <alignment horizontal="right"/>
      <protection locked="0"/>
    </xf>
    <xf numFmtId="2" fontId="0" fillId="0" borderId="11" xfId="0" applyNumberFormat="1" applyBorder="1" applyAlignment="1" applyProtection="1">
      <alignment horizontal="right"/>
      <protection locked="0"/>
    </xf>
    <xf numFmtId="0" fontId="2" fillId="4" borderId="7"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9" xfId="0" applyFont="1" applyFill="1" applyBorder="1" applyAlignment="1">
      <alignment horizontal="center" vertical="center"/>
    </xf>
    <xf numFmtId="0" fontId="0" fillId="0" borderId="12" xfId="0" applyBorder="1" applyAlignment="1">
      <alignment horizontal="left"/>
    </xf>
    <xf numFmtId="0" fontId="0" fillId="0" borderId="27" xfId="0" applyBorder="1" applyAlignment="1">
      <alignment horizontal="left"/>
    </xf>
    <xf numFmtId="0" fontId="0" fillId="0" borderId="13" xfId="0" applyBorder="1" applyAlignment="1">
      <alignment horizontal="left"/>
    </xf>
    <xf numFmtId="0" fontId="0" fillId="0" borderId="49" xfId="0" applyBorder="1" applyAlignment="1">
      <alignment horizontal="left"/>
    </xf>
    <xf numFmtId="0" fontId="0" fillId="0" borderId="41" xfId="0" applyBorder="1" applyAlignment="1">
      <alignment horizontal="left"/>
    </xf>
    <xf numFmtId="0" fontId="0" fillId="0" borderId="40" xfId="0" applyBorder="1" applyAlignment="1">
      <alignment horizontal="left"/>
    </xf>
    <xf numFmtId="0" fontId="0" fillId="0" borderId="10" xfId="0" applyBorder="1" applyAlignment="1">
      <alignment horizontal="left"/>
    </xf>
    <xf numFmtId="0" fontId="0" fillId="0" borderId="3" xfId="0" applyBorder="1" applyAlignment="1">
      <alignment horizontal="left"/>
    </xf>
    <xf numFmtId="0" fontId="0" fillId="0" borderId="4" xfId="0" applyBorder="1" applyAlignment="1">
      <alignment horizontal="left"/>
    </xf>
    <xf numFmtId="2" fontId="0" fillId="6" borderId="2" xfId="0" applyNumberFormat="1" applyFill="1" applyBorder="1" applyAlignment="1" applyProtection="1">
      <alignment horizontal="right" vertical="center"/>
      <protection locked="0"/>
    </xf>
    <xf numFmtId="2" fontId="0" fillId="6" borderId="3" xfId="0" applyNumberFormat="1" applyFill="1" applyBorder="1" applyAlignment="1" applyProtection="1">
      <alignment horizontal="right" vertical="center"/>
      <protection locked="0"/>
    </xf>
    <xf numFmtId="2" fontId="0" fillId="6" borderId="4" xfId="0" applyNumberFormat="1" applyFill="1" applyBorder="1" applyAlignment="1" applyProtection="1">
      <alignment horizontal="right" vertical="center"/>
      <protection locked="0"/>
    </xf>
    <xf numFmtId="2" fontId="0" fillId="13" borderId="37" xfId="0" applyNumberFormat="1" applyFill="1" applyBorder="1" applyAlignment="1" applyProtection="1">
      <alignment horizontal="right" vertical="center"/>
      <protection locked="0"/>
    </xf>
    <xf numFmtId="2" fontId="0" fillId="13" borderId="27" xfId="0" applyNumberFormat="1" applyFill="1" applyBorder="1" applyAlignment="1" applyProtection="1">
      <alignment horizontal="right" vertical="center"/>
      <protection locked="0"/>
    </xf>
    <xf numFmtId="2" fontId="0" fillId="13" borderId="13" xfId="0" applyNumberFormat="1" applyFill="1" applyBorder="1" applyAlignment="1" applyProtection="1">
      <alignment horizontal="right" vertical="center"/>
      <protection locked="0"/>
    </xf>
    <xf numFmtId="2" fontId="2" fillId="0" borderId="40" xfId="0" applyNumberFormat="1" applyFont="1" applyBorder="1" applyAlignment="1">
      <alignment horizontal="center" vertical="center"/>
    </xf>
    <xf numFmtId="2" fontId="2" fillId="0" borderId="6" xfId="0" applyNumberFormat="1" applyFont="1" applyBorder="1" applyAlignment="1">
      <alignment horizontal="center" vertical="center"/>
    </xf>
    <xf numFmtId="0" fontId="37" fillId="0" borderId="18" xfId="3" applyFont="1" applyFill="1" applyBorder="1" applyAlignment="1" applyProtection="1">
      <alignment horizontal="center" vertical="center" wrapText="1"/>
    </xf>
    <xf numFmtId="0" fontId="37" fillId="0" borderId="1" xfId="3" applyFont="1" applyFill="1" applyBorder="1" applyAlignment="1" applyProtection="1">
      <alignment horizontal="center" vertical="center" wrapText="1"/>
    </xf>
    <xf numFmtId="2" fontId="0" fillId="0" borderId="37" xfId="0" applyNumberFormat="1" applyBorder="1" applyAlignment="1" applyProtection="1">
      <alignment horizontal="right"/>
      <protection locked="0"/>
    </xf>
    <xf numFmtId="2" fontId="0" fillId="0" borderId="27" xfId="0" applyNumberFormat="1" applyBorder="1" applyAlignment="1" applyProtection="1">
      <alignment horizontal="right"/>
      <protection locked="0"/>
    </xf>
    <xf numFmtId="2" fontId="0" fillId="0" borderId="36" xfId="0" applyNumberFormat="1" applyBorder="1" applyAlignment="1" applyProtection="1">
      <alignment horizontal="right"/>
      <protection locked="0"/>
    </xf>
    <xf numFmtId="2" fontId="0" fillId="7" borderId="81" xfId="2" applyFont="1" applyFill="1" applyBorder="1" applyAlignment="1">
      <alignment horizontal="center"/>
    </xf>
    <xf numFmtId="2" fontId="0" fillId="7" borderId="82" xfId="2" applyFont="1" applyFill="1" applyBorder="1" applyAlignment="1">
      <alignment horizontal="center"/>
    </xf>
    <xf numFmtId="0" fontId="2" fillId="3" borderId="59" xfId="0" applyFont="1" applyFill="1" applyBorder="1" applyAlignment="1">
      <alignment horizontal="center" vertical="center"/>
    </xf>
    <xf numFmtId="2" fontId="2" fillId="0" borderId="0" xfId="0" applyNumberFormat="1" applyFont="1" applyAlignment="1">
      <alignment horizontal="center" vertical="center"/>
    </xf>
    <xf numFmtId="0" fontId="2" fillId="0" borderId="25" xfId="0" applyFont="1" applyBorder="1" applyAlignment="1">
      <alignment horizontal="center"/>
    </xf>
    <xf numFmtId="0" fontId="2" fillId="0" borderId="0" xfId="0" applyFont="1" applyAlignment="1">
      <alignment horizontal="center"/>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2" fontId="0" fillId="13" borderId="46" xfId="2" applyFont="1" applyFill="1" applyBorder="1" applyAlignment="1">
      <alignment horizontal="center"/>
    </xf>
    <xf numFmtId="2" fontId="0" fillId="13" borderId="5" xfId="2" applyFont="1" applyFill="1" applyBorder="1" applyAlignment="1">
      <alignment horizontal="center"/>
    </xf>
    <xf numFmtId="2" fontId="0" fillId="13" borderId="53" xfId="2" applyFont="1" applyFill="1" applyBorder="1" applyAlignment="1">
      <alignment horizontal="center"/>
    </xf>
    <xf numFmtId="2" fontId="0" fillId="6" borderId="37" xfId="0" applyNumberFormat="1" applyFill="1" applyBorder="1" applyAlignment="1" applyProtection="1">
      <alignment horizontal="right" wrapText="1"/>
      <protection locked="0"/>
    </xf>
    <xf numFmtId="2" fontId="0" fillId="6" borderId="27" xfId="0" applyNumberFormat="1" applyFill="1" applyBorder="1" applyAlignment="1" applyProtection="1">
      <alignment horizontal="right" wrapText="1"/>
      <protection locked="0"/>
    </xf>
    <xf numFmtId="2" fontId="0" fillId="6" borderId="13" xfId="0" applyNumberFormat="1" applyFill="1" applyBorder="1" applyAlignment="1" applyProtection="1">
      <alignment horizontal="right" wrapText="1"/>
      <protection locked="0"/>
    </xf>
    <xf numFmtId="0" fontId="6" fillId="0" borderId="12" xfId="3" applyFill="1" applyBorder="1"/>
    <xf numFmtId="0" fontId="6" fillId="0" borderId="27" xfId="3" applyFill="1" applyBorder="1"/>
    <xf numFmtId="0" fontId="6" fillId="0" borderId="13" xfId="3" applyFill="1" applyBorder="1"/>
    <xf numFmtId="0" fontId="4" fillId="7" borderId="86" xfId="0" applyFont="1" applyFill="1" applyBorder="1" applyAlignment="1">
      <alignment horizontal="center"/>
    </xf>
    <xf numFmtId="0" fontId="4" fillId="7" borderId="87" xfId="0" applyFont="1" applyFill="1" applyBorder="1" applyAlignment="1">
      <alignment horizontal="center"/>
    </xf>
    <xf numFmtId="0" fontId="4" fillId="7" borderId="88" xfId="0" applyFont="1" applyFill="1" applyBorder="1" applyAlignment="1">
      <alignment horizontal="center"/>
    </xf>
    <xf numFmtId="0" fontId="4" fillId="19" borderId="7" xfId="0" applyFont="1" applyFill="1" applyBorder="1" applyAlignment="1">
      <alignment horizontal="left" vertical="center"/>
    </xf>
    <xf numFmtId="0" fontId="4" fillId="19" borderId="8" xfId="0" applyFont="1" applyFill="1" applyBorder="1" applyAlignment="1">
      <alignment horizontal="left" vertical="center"/>
    </xf>
    <xf numFmtId="0" fontId="4" fillId="19" borderId="73" xfId="0" applyFont="1" applyFill="1" applyBorder="1" applyAlignment="1">
      <alignment horizontal="left" vertical="center"/>
    </xf>
    <xf numFmtId="0" fontId="2" fillId="0" borderId="1" xfId="0" applyFont="1" applyBorder="1" applyAlignment="1">
      <alignment horizontal="center" vertical="center"/>
    </xf>
    <xf numFmtId="0" fontId="2" fillId="0" borderId="11" xfId="0" applyFont="1" applyBorder="1" applyAlignment="1">
      <alignment horizontal="center" vertical="center"/>
    </xf>
    <xf numFmtId="14" fontId="2" fillId="13" borderId="48" xfId="2" applyNumberFormat="1" applyFont="1" applyFill="1" applyBorder="1" applyAlignment="1">
      <alignment horizontal="center"/>
    </xf>
    <xf numFmtId="14" fontId="2" fillId="13" borderId="51" xfId="2" applyNumberFormat="1" applyFont="1" applyFill="1" applyBorder="1" applyAlignment="1">
      <alignment horizontal="center"/>
    </xf>
    <xf numFmtId="0" fontId="0" fillId="0" borderId="2" xfId="0" applyBorder="1" applyAlignment="1">
      <alignment horizontal="left" vertical="center" wrapText="1"/>
    </xf>
    <xf numFmtId="0" fontId="0" fillId="0" borderId="37" xfId="0" applyBorder="1" applyAlignment="1">
      <alignment horizontal="left" vertical="center" wrapText="1"/>
    </xf>
    <xf numFmtId="2" fontId="0" fillId="13" borderId="20" xfId="0" applyNumberFormat="1" applyFill="1" applyBorder="1" applyAlignment="1">
      <alignment horizontal="right"/>
    </xf>
    <xf numFmtId="2" fontId="0" fillId="13" borderId="37" xfId="0" applyNumberFormat="1" applyFill="1" applyBorder="1" applyAlignment="1">
      <alignment horizontal="right"/>
    </xf>
    <xf numFmtId="2" fontId="0" fillId="13" borderId="6" xfId="2" applyFont="1" applyFill="1" applyBorder="1" applyAlignment="1">
      <alignment horizontal="right" vertical="center"/>
    </xf>
    <xf numFmtId="2" fontId="0" fillId="13" borderId="44" xfId="2" applyFont="1" applyFill="1" applyBorder="1" applyAlignment="1">
      <alignment horizontal="right" vertical="center"/>
    </xf>
    <xf numFmtId="2" fontId="0" fillId="13" borderId="37" xfId="2" applyFont="1" applyFill="1" applyBorder="1" applyAlignment="1">
      <alignment horizontal="right" vertical="center"/>
    </xf>
    <xf numFmtId="2" fontId="0" fillId="13" borderId="27" xfId="2" applyFont="1" applyFill="1" applyBorder="1" applyAlignment="1">
      <alignment horizontal="right" vertical="center"/>
    </xf>
    <xf numFmtId="2" fontId="0" fillId="13" borderId="36" xfId="2" applyFont="1" applyFill="1" applyBorder="1" applyAlignment="1">
      <alignment horizontal="right" vertical="center"/>
    </xf>
    <xf numFmtId="0" fontId="37" fillId="0" borderId="7" xfId="3" applyFont="1" applyFill="1" applyBorder="1" applyAlignment="1" applyProtection="1">
      <alignment horizontal="center" vertical="center"/>
    </xf>
    <xf numFmtId="0" fontId="37" fillId="0" borderId="8" xfId="3" applyFont="1" applyFill="1" applyBorder="1" applyAlignment="1" applyProtection="1">
      <alignment horizontal="center" vertical="center"/>
    </xf>
    <xf numFmtId="2" fontId="0" fillId="0" borderId="2" xfId="0" applyNumberFormat="1" applyBorder="1" applyAlignment="1" applyProtection="1">
      <alignment horizontal="right"/>
      <protection locked="0"/>
    </xf>
    <xf numFmtId="2" fontId="0" fillId="0" borderId="3" xfId="0" applyNumberFormat="1" applyBorder="1" applyAlignment="1" applyProtection="1">
      <alignment horizontal="right"/>
      <protection locked="0"/>
    </xf>
    <xf numFmtId="2" fontId="0" fillId="0" borderId="21" xfId="0" applyNumberFormat="1" applyBorder="1" applyAlignment="1" applyProtection="1">
      <alignment horizontal="right"/>
      <protection locked="0"/>
    </xf>
    <xf numFmtId="0" fontId="0" fillId="6" borderId="2" xfId="0" applyFill="1" applyBorder="1" applyAlignment="1" applyProtection="1">
      <alignment horizontal="center"/>
      <protection locked="0"/>
    </xf>
    <xf numFmtId="0" fontId="0" fillId="6" borderId="3" xfId="0" applyFill="1" applyBorder="1" applyAlignment="1" applyProtection="1">
      <alignment horizontal="center"/>
      <protection locked="0"/>
    </xf>
    <xf numFmtId="0" fontId="0" fillId="6" borderId="4" xfId="0" applyFill="1" applyBorder="1" applyAlignment="1" applyProtection="1">
      <alignment horizontal="center"/>
      <protection locked="0"/>
    </xf>
    <xf numFmtId="0" fontId="0" fillId="19" borderId="7" xfId="0" applyFill="1" applyBorder="1" applyAlignment="1" applyProtection="1">
      <alignment horizontal="center" vertical="center"/>
      <protection locked="0"/>
    </xf>
    <xf numFmtId="0" fontId="0" fillId="19" borderId="8" xfId="0" applyFill="1" applyBorder="1" applyAlignment="1" applyProtection="1">
      <alignment horizontal="center" vertical="center"/>
      <protection locked="0"/>
    </xf>
    <xf numFmtId="0" fontId="0" fillId="19" borderId="9" xfId="0" applyFill="1" applyBorder="1" applyAlignment="1" applyProtection="1">
      <alignment horizontal="center" vertical="center"/>
      <protection locked="0"/>
    </xf>
    <xf numFmtId="2" fontId="2" fillId="0" borderId="25" xfId="0" applyNumberFormat="1" applyFont="1" applyBorder="1" applyAlignment="1">
      <alignment horizontal="center" vertical="center"/>
    </xf>
    <xf numFmtId="0" fontId="2" fillId="3" borderId="73" xfId="0" applyFont="1" applyFill="1" applyBorder="1" applyAlignment="1">
      <alignment horizontal="center" vertical="center"/>
    </xf>
    <xf numFmtId="0" fontId="37" fillId="0" borderId="2" xfId="3" applyFont="1" applyFill="1" applyBorder="1" applyAlignment="1" applyProtection="1">
      <alignment horizontal="center" vertical="center"/>
    </xf>
    <xf numFmtId="0" fontId="37" fillId="0" borderId="11" xfId="3" applyFont="1" applyFill="1" applyBorder="1" applyAlignment="1" applyProtection="1">
      <alignment horizontal="center" vertical="center" wrapText="1"/>
    </xf>
    <xf numFmtId="0" fontId="37" fillId="0" borderId="64" xfId="3" applyFont="1" applyFill="1" applyBorder="1" applyAlignment="1" applyProtection="1">
      <alignment horizontal="center" vertical="center"/>
    </xf>
    <xf numFmtId="0" fontId="37" fillId="0" borderId="64" xfId="3" applyFont="1" applyFill="1" applyBorder="1" applyAlignment="1" applyProtection="1">
      <alignment horizontal="center" vertical="center" wrapText="1"/>
    </xf>
    <xf numFmtId="2" fontId="1" fillId="13" borderId="2" xfId="2" applyFill="1" applyBorder="1" applyAlignment="1">
      <alignment horizontal="center"/>
    </xf>
    <xf numFmtId="2" fontId="1" fillId="13" borderId="3" xfId="2" applyFill="1" applyBorder="1" applyAlignment="1">
      <alignment horizontal="center"/>
    </xf>
    <xf numFmtId="2" fontId="1" fillId="13" borderId="4" xfId="2" applyFill="1" applyBorder="1" applyAlignment="1">
      <alignment horizontal="center"/>
    </xf>
    <xf numFmtId="0" fontId="0" fillId="6" borderId="8" xfId="0" applyFill="1" applyBorder="1" applyAlignment="1" applyProtection="1">
      <alignment horizontal="center"/>
      <protection locked="0"/>
    </xf>
    <xf numFmtId="0" fontId="0" fillId="0" borderId="1" xfId="0" applyBorder="1" applyAlignment="1" applyProtection="1">
      <alignment vertical="center" wrapText="1"/>
      <protection locked="0"/>
    </xf>
    <xf numFmtId="2" fontId="0" fillId="13" borderId="1" xfId="0" applyNumberFormat="1" applyFill="1" applyBorder="1" applyAlignment="1">
      <alignment horizontal="right"/>
    </xf>
    <xf numFmtId="0" fontId="2" fillId="0" borderId="1" xfId="0" applyFont="1" applyBorder="1" applyAlignment="1">
      <alignment horizontal="center" vertical="center" wrapText="1"/>
    </xf>
    <xf numFmtId="0" fontId="0" fillId="0" borderId="19" xfId="0" applyBorder="1" applyAlignment="1">
      <alignment horizontal="left"/>
    </xf>
    <xf numFmtId="0" fontId="0" fillId="0" borderId="20" xfId="0" applyBorder="1" applyAlignment="1">
      <alignment horizontal="left"/>
    </xf>
    <xf numFmtId="0" fontId="0" fillId="0" borderId="18" xfId="0" applyBorder="1" applyAlignment="1">
      <alignment horizontal="left"/>
    </xf>
    <xf numFmtId="0" fontId="0" fillId="0" borderId="1" xfId="0" applyBorder="1" applyAlignment="1">
      <alignment horizontal="left"/>
    </xf>
    <xf numFmtId="0" fontId="0" fillId="6" borderId="1" xfId="0" applyFill="1" applyBorder="1" applyAlignment="1" applyProtection="1">
      <alignment horizontal="center" vertical="center" wrapText="1"/>
      <protection locked="0"/>
    </xf>
    <xf numFmtId="0" fontId="2" fillId="4" borderId="38" xfId="0" applyFont="1" applyFill="1" applyBorder="1" applyAlignment="1">
      <alignment horizontal="center" vertical="center" wrapText="1"/>
    </xf>
    <xf numFmtId="0" fontId="2" fillId="4" borderId="65" xfId="0" applyFont="1" applyFill="1" applyBorder="1" applyAlignment="1">
      <alignment horizontal="center" vertical="center" wrapText="1"/>
    </xf>
    <xf numFmtId="0" fontId="2" fillId="4" borderId="42" xfId="0" applyFont="1" applyFill="1" applyBorder="1" applyAlignment="1">
      <alignment horizontal="center" vertical="center" wrapText="1"/>
    </xf>
    <xf numFmtId="0" fontId="0" fillId="6" borderId="2" xfId="0" applyFill="1" applyBorder="1" applyAlignment="1" applyProtection="1">
      <alignment horizontal="center" vertical="center" wrapText="1"/>
      <protection locked="0"/>
    </xf>
    <xf numFmtId="0" fontId="0" fillId="6" borderId="3" xfId="0" applyFill="1" applyBorder="1" applyAlignment="1" applyProtection="1">
      <alignment horizontal="center" vertical="center" wrapText="1"/>
      <protection locked="0"/>
    </xf>
    <xf numFmtId="0" fontId="0" fillId="6" borderId="21" xfId="0" applyFill="1" applyBorder="1" applyAlignment="1" applyProtection="1">
      <alignment horizontal="center" vertical="center" wrapText="1"/>
      <protection locked="0"/>
    </xf>
    <xf numFmtId="0" fontId="4" fillId="19" borderId="3" xfId="0" applyFont="1" applyFill="1" applyBorder="1" applyAlignment="1">
      <alignment horizontal="left" vertical="center" wrapText="1"/>
    </xf>
    <xf numFmtId="0" fontId="4" fillId="19" borderId="2" xfId="0" applyFont="1" applyFill="1" applyBorder="1" applyAlignment="1" applyProtection="1">
      <alignment horizontal="center" vertical="center"/>
      <protection locked="0"/>
    </xf>
    <xf numFmtId="0" fontId="4" fillId="19" borderId="3" xfId="0" applyFont="1" applyFill="1" applyBorder="1" applyAlignment="1" applyProtection="1">
      <alignment horizontal="center" vertical="center"/>
      <protection locked="0"/>
    </xf>
    <xf numFmtId="0" fontId="4" fillId="19" borderId="21" xfId="0" applyFont="1" applyFill="1" applyBorder="1" applyAlignment="1" applyProtection="1">
      <alignment horizontal="center" vertical="center"/>
      <protection locked="0"/>
    </xf>
    <xf numFmtId="0" fontId="2" fillId="0" borderId="1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1" xfId="0" applyFont="1" applyBorder="1" applyAlignment="1">
      <alignment horizontal="center" vertical="center" wrapText="1"/>
    </xf>
    <xf numFmtId="0" fontId="0" fillId="0" borderId="10" xfId="0" applyBorder="1" applyAlignment="1" applyProtection="1">
      <alignment horizontal="center"/>
      <protection locked="0"/>
    </xf>
    <xf numFmtId="0" fontId="0" fillId="0" borderId="3" xfId="0" applyBorder="1" applyAlignment="1" applyProtection="1">
      <alignment horizontal="center"/>
      <protection locked="0"/>
    </xf>
    <xf numFmtId="0" fontId="0" fillId="0" borderId="21" xfId="0" applyBorder="1" applyAlignment="1" applyProtection="1">
      <alignment horizontal="center"/>
      <protection locked="0"/>
    </xf>
    <xf numFmtId="2" fontId="0" fillId="6" borderId="2" xfId="0" applyNumberFormat="1" applyFill="1" applyBorder="1" applyAlignment="1" applyProtection="1">
      <alignment horizontal="right" wrapText="1"/>
      <protection locked="0"/>
    </xf>
    <xf numFmtId="2" fontId="0" fillId="6" borderId="3" xfId="0" applyNumberFormat="1" applyFill="1" applyBorder="1" applyAlignment="1" applyProtection="1">
      <alignment horizontal="right" wrapText="1"/>
      <protection locked="0"/>
    </xf>
    <xf numFmtId="2" fontId="0" fillId="6" borderId="4" xfId="0" applyNumberFormat="1" applyFill="1" applyBorder="1" applyAlignment="1" applyProtection="1">
      <alignment horizontal="right" wrapText="1"/>
      <protection locked="0"/>
    </xf>
    <xf numFmtId="0" fontId="2" fillId="3" borderId="28" xfId="0" applyFont="1" applyFill="1" applyBorder="1" applyAlignment="1">
      <alignment horizontal="center" vertical="center"/>
    </xf>
    <xf numFmtId="0" fontId="2" fillId="3" borderId="67" xfId="0" applyFont="1" applyFill="1" applyBorder="1" applyAlignment="1">
      <alignment horizontal="center" vertical="center"/>
    </xf>
    <xf numFmtId="0" fontId="2" fillId="0" borderId="73"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24" xfId="0" applyFont="1" applyBorder="1" applyAlignment="1">
      <alignment horizontal="center" vertical="center" wrapText="1"/>
    </xf>
    <xf numFmtId="2" fontId="0" fillId="6" borderId="73" xfId="0" applyNumberFormat="1" applyFill="1" applyBorder="1" applyAlignment="1" applyProtection="1">
      <alignment horizontal="right" wrapText="1"/>
      <protection locked="0"/>
    </xf>
    <xf numFmtId="2" fontId="0" fillId="6" borderId="16" xfId="0" applyNumberFormat="1" applyFill="1" applyBorder="1" applyAlignment="1" applyProtection="1">
      <alignment horizontal="right" wrapText="1"/>
      <protection locked="0"/>
    </xf>
    <xf numFmtId="2" fontId="0" fillId="6" borderId="24" xfId="0" applyNumberFormat="1" applyFill="1" applyBorder="1" applyAlignment="1" applyProtection="1">
      <alignment horizontal="right" wrapText="1"/>
      <protection locked="0"/>
    </xf>
    <xf numFmtId="2" fontId="0" fillId="13" borderId="12" xfId="2" applyFont="1" applyFill="1" applyBorder="1" applyAlignment="1">
      <alignment horizontal="right" vertical="center"/>
    </xf>
    <xf numFmtId="2" fontId="0" fillId="13" borderId="13" xfId="2" applyFont="1" applyFill="1" applyBorder="1" applyAlignment="1">
      <alignment horizontal="right" vertical="center"/>
    </xf>
    <xf numFmtId="0" fontId="0" fillId="0" borderId="48" xfId="0" applyBorder="1" applyAlignment="1">
      <alignment horizontal="left" vertical="center" wrapText="1"/>
    </xf>
    <xf numFmtId="170" fontId="0" fillId="13" borderId="48" xfId="2" applyNumberFormat="1" applyFont="1" applyFill="1" applyBorder="1" applyAlignment="1">
      <alignment horizontal="right"/>
    </xf>
    <xf numFmtId="170" fontId="0" fillId="13" borderId="51" xfId="2" applyNumberFormat="1" applyFont="1" applyFill="1" applyBorder="1" applyAlignment="1">
      <alignment horizontal="right"/>
    </xf>
    <xf numFmtId="0" fontId="7" fillId="0" borderId="10" xfId="3" applyFont="1" applyBorder="1" applyAlignment="1" applyProtection="1">
      <alignment horizontal="center" vertical="center" wrapText="1"/>
    </xf>
    <xf numFmtId="0" fontId="7" fillId="0" borderId="3" xfId="3" applyFont="1" applyBorder="1" applyAlignment="1" applyProtection="1">
      <alignment horizontal="center" vertical="center" wrapText="1"/>
    </xf>
    <xf numFmtId="0" fontId="7" fillId="0" borderId="21" xfId="3" applyFont="1" applyBorder="1" applyAlignment="1" applyProtection="1">
      <alignment horizontal="center" vertical="center" wrapText="1"/>
    </xf>
    <xf numFmtId="0" fontId="0" fillId="6" borderId="52" xfId="0" applyFill="1" applyBorder="1" applyAlignment="1" applyProtection="1">
      <alignment horizontal="center"/>
      <protection locked="0"/>
    </xf>
    <xf numFmtId="0" fontId="0" fillId="6" borderId="5" xfId="0" applyFill="1" applyBorder="1" applyAlignment="1" applyProtection="1">
      <alignment horizontal="center"/>
      <protection locked="0"/>
    </xf>
    <xf numFmtId="0" fontId="0" fillId="6" borderId="47" xfId="0" applyFill="1" applyBorder="1" applyAlignment="1" applyProtection="1">
      <alignment horizontal="center"/>
      <protection locked="0"/>
    </xf>
    <xf numFmtId="0" fontId="0" fillId="13" borderId="20" xfId="0" applyFill="1" applyBorder="1" applyAlignment="1">
      <alignment horizontal="center" vertical="top" wrapText="1"/>
    </xf>
    <xf numFmtId="0" fontId="0" fillId="13" borderId="14" xfId="0" applyFill="1" applyBorder="1" applyAlignment="1">
      <alignment horizontal="center" vertical="top" wrapText="1"/>
    </xf>
    <xf numFmtId="0" fontId="4" fillId="13" borderId="2" xfId="0" applyFont="1" applyFill="1" applyBorder="1" applyAlignment="1">
      <alignment horizontal="center" vertical="center"/>
    </xf>
    <xf numFmtId="0" fontId="4" fillId="13" borderId="3" xfId="0" applyFont="1" applyFill="1" applyBorder="1" applyAlignment="1">
      <alignment horizontal="center" vertical="center"/>
    </xf>
    <xf numFmtId="0" fontId="4" fillId="13" borderId="21" xfId="0" applyFont="1" applyFill="1" applyBorder="1" applyAlignment="1">
      <alignment horizontal="center" vertical="center"/>
    </xf>
    <xf numFmtId="0" fontId="13" fillId="19" borderId="2" xfId="0" applyFont="1" applyFill="1" applyBorder="1" applyAlignment="1" applyProtection="1">
      <alignment horizontal="center" vertical="center"/>
      <protection locked="0"/>
    </xf>
    <xf numFmtId="0" fontId="13" fillId="19" borderId="3" xfId="0" applyFont="1" applyFill="1" applyBorder="1" applyAlignment="1" applyProtection="1">
      <alignment horizontal="center" vertical="center"/>
      <protection locked="0"/>
    </xf>
    <xf numFmtId="0" fontId="13" fillId="19" borderId="21" xfId="0" applyFont="1" applyFill="1" applyBorder="1" applyAlignment="1" applyProtection="1">
      <alignment horizontal="center" vertical="center"/>
      <protection locked="0"/>
    </xf>
    <xf numFmtId="2" fontId="0" fillId="6" borderId="18" xfId="0" applyNumberFormat="1" applyFill="1" applyBorder="1" applyAlignment="1" applyProtection="1">
      <alignment horizontal="right"/>
      <protection locked="0"/>
    </xf>
    <xf numFmtId="2" fontId="0" fillId="6" borderId="1" xfId="0" applyNumberFormat="1" applyFill="1" applyBorder="1" applyAlignment="1" applyProtection="1">
      <alignment horizontal="right" vertical="center"/>
      <protection locked="0"/>
    </xf>
    <xf numFmtId="0" fontId="2" fillId="0" borderId="4" xfId="0" applyFont="1" applyBorder="1" applyAlignment="1">
      <alignment horizontal="center" vertical="center"/>
    </xf>
    <xf numFmtId="0" fontId="13" fillId="6" borderId="1" xfId="0" applyFont="1" applyFill="1" applyBorder="1" applyAlignment="1" applyProtection="1">
      <alignment horizontal="center" vertical="center"/>
      <protection locked="0"/>
    </xf>
    <xf numFmtId="0" fontId="13" fillId="6" borderId="11" xfId="0" applyFont="1" applyFill="1" applyBorder="1" applyAlignment="1" applyProtection="1">
      <alignment horizontal="center" vertical="center"/>
      <protection locked="0"/>
    </xf>
    <xf numFmtId="0" fontId="0" fillId="19" borderId="2" xfId="0" applyFill="1" applyBorder="1" applyAlignment="1" applyProtection="1">
      <alignment horizontal="left" vertical="center" wrapText="1"/>
      <protection locked="0"/>
    </xf>
    <xf numFmtId="0" fontId="0" fillId="19" borderId="3" xfId="0" applyFill="1" applyBorder="1" applyAlignment="1" applyProtection="1">
      <alignment horizontal="left" vertical="center" wrapText="1"/>
      <protection locked="0"/>
    </xf>
    <xf numFmtId="0" fontId="0" fillId="19" borderId="21" xfId="0" applyFill="1" applyBorder="1" applyAlignment="1" applyProtection="1">
      <alignment horizontal="left" vertical="center" wrapText="1"/>
      <protection locked="0"/>
    </xf>
    <xf numFmtId="0" fontId="0" fillId="6" borderId="1" xfId="0" applyFill="1" applyBorder="1" applyAlignment="1" applyProtection="1">
      <alignment horizontal="left" vertical="top" wrapText="1"/>
      <protection locked="0"/>
    </xf>
    <xf numFmtId="0" fontId="0" fillId="6" borderId="11" xfId="0" applyFill="1" applyBorder="1" applyAlignment="1" applyProtection="1">
      <alignment horizontal="left" vertical="top" wrapText="1"/>
      <protection locked="0"/>
    </xf>
    <xf numFmtId="0" fontId="0" fillId="6" borderId="19" xfId="0" applyFill="1" applyBorder="1" applyAlignment="1" applyProtection="1">
      <alignment horizontal="left" vertical="top" wrapText="1"/>
      <protection locked="0"/>
    </xf>
    <xf numFmtId="0" fontId="0" fillId="6" borderId="12" xfId="0" applyFill="1" applyBorder="1" applyAlignment="1" applyProtection="1">
      <alignment horizontal="left" vertical="top" wrapText="1"/>
      <protection locked="0"/>
    </xf>
    <xf numFmtId="0" fontId="2" fillId="4" borderId="28" xfId="0" applyFont="1" applyFill="1" applyBorder="1" applyAlignment="1">
      <alignment horizontal="center"/>
    </xf>
    <xf numFmtId="170" fontId="0" fillId="13" borderId="2" xfId="2" applyNumberFormat="1" applyFont="1" applyFill="1" applyBorder="1" applyAlignment="1">
      <alignment horizontal="right"/>
    </xf>
    <xf numFmtId="170" fontId="0" fillId="13" borderId="3" xfId="2" applyNumberFormat="1" applyFont="1" applyFill="1" applyBorder="1" applyAlignment="1">
      <alignment horizontal="right"/>
    </xf>
    <xf numFmtId="170" fontId="0" fillId="13" borderId="21" xfId="2" applyNumberFormat="1" applyFont="1" applyFill="1" applyBorder="1" applyAlignment="1">
      <alignment horizontal="right"/>
    </xf>
    <xf numFmtId="0" fontId="0" fillId="6" borderId="4" xfId="0" applyFill="1" applyBorder="1" applyAlignment="1" applyProtection="1">
      <alignment horizontal="center" vertical="center"/>
      <protection locked="0"/>
    </xf>
    <xf numFmtId="0" fontId="0" fillId="6" borderId="1" xfId="0" applyFill="1" applyBorder="1" applyAlignment="1" applyProtection="1">
      <alignment horizontal="center" vertical="center"/>
      <protection locked="0"/>
    </xf>
    <xf numFmtId="2" fontId="0" fillId="13" borderId="30" xfId="2" applyFont="1" applyFill="1" applyBorder="1" applyAlignment="1">
      <alignment horizontal="right" vertical="center"/>
    </xf>
    <xf numFmtId="2" fontId="0" fillId="13" borderId="40" xfId="2" applyFont="1" applyFill="1" applyBorder="1" applyAlignment="1">
      <alignment horizontal="right" vertical="center"/>
    </xf>
    <xf numFmtId="0" fontId="10" fillId="0" borderId="48" xfId="0" applyFont="1" applyBorder="1" applyAlignment="1">
      <alignment horizontal="center" vertical="center" wrapText="1"/>
    </xf>
    <xf numFmtId="2" fontId="0" fillId="13" borderId="19" xfId="0" applyNumberFormat="1" applyFill="1" applyBorder="1" applyAlignment="1">
      <alignment horizontal="right"/>
    </xf>
    <xf numFmtId="170" fontId="0" fillId="13" borderId="37" xfId="2" applyNumberFormat="1" applyFont="1" applyFill="1" applyBorder="1" applyAlignment="1">
      <alignment horizontal="right"/>
    </xf>
    <xf numFmtId="170" fontId="0" fillId="13" borderId="27" xfId="2" applyNumberFormat="1" applyFont="1" applyFill="1" applyBorder="1" applyAlignment="1">
      <alignment horizontal="right"/>
    </xf>
    <xf numFmtId="170" fontId="0" fillId="13" borderId="36" xfId="2" applyNumberFormat="1" applyFont="1" applyFill="1" applyBorder="1" applyAlignment="1">
      <alignment horizontal="right"/>
    </xf>
    <xf numFmtId="0" fontId="6" fillId="6" borderId="1" xfId="3" applyFill="1" applyBorder="1" applyAlignment="1" applyProtection="1">
      <alignment horizontal="center"/>
      <protection locked="0"/>
    </xf>
    <xf numFmtId="0" fontId="0" fillId="6" borderId="11" xfId="0" applyFill="1" applyBorder="1" applyAlignment="1" applyProtection="1">
      <alignment horizontal="center"/>
      <protection locked="0"/>
    </xf>
    <xf numFmtId="2" fontId="0" fillId="13" borderId="73" xfId="0" applyNumberFormat="1" applyFill="1" applyBorder="1" applyAlignment="1">
      <alignment horizontal="right"/>
    </xf>
    <xf numFmtId="2" fontId="0" fillId="13" borderId="16" xfId="0" applyNumberFormat="1" applyFill="1" applyBorder="1" applyAlignment="1">
      <alignment horizontal="right"/>
    </xf>
    <xf numFmtId="2" fontId="0" fillId="13" borderId="17" xfId="0" applyNumberFormat="1" applyFill="1" applyBorder="1" applyAlignment="1">
      <alignment horizontal="right"/>
    </xf>
    <xf numFmtId="2" fontId="0" fillId="13" borderId="2" xfId="0" applyNumberFormat="1" applyFill="1" applyBorder="1" applyAlignment="1">
      <alignment horizontal="right"/>
    </xf>
    <xf numFmtId="2" fontId="0" fillId="13" borderId="3" xfId="0" applyNumberFormat="1" applyFill="1" applyBorder="1" applyAlignment="1">
      <alignment horizontal="right"/>
    </xf>
    <xf numFmtId="2" fontId="0" fillId="13" borderId="21" xfId="0" applyNumberFormat="1" applyFill="1" applyBorder="1" applyAlignment="1">
      <alignment horizontal="right"/>
    </xf>
    <xf numFmtId="2" fontId="0" fillId="13" borderId="27" xfId="0" applyNumberFormat="1" applyFill="1" applyBorder="1" applyAlignment="1">
      <alignment horizontal="right"/>
    </xf>
    <xf numFmtId="2" fontId="0" fillId="13" borderId="36" xfId="0" applyNumberFormat="1" applyFill="1" applyBorder="1" applyAlignment="1">
      <alignment horizontal="right"/>
    </xf>
    <xf numFmtId="0" fontId="2" fillId="0" borderId="7" xfId="0"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0" fillId="0" borderId="37" xfId="0" applyBorder="1" applyAlignment="1" applyProtection="1">
      <alignment vertical="center" wrapText="1"/>
      <protection locked="0"/>
    </xf>
    <xf numFmtId="0" fontId="0" fillId="0" borderId="27" xfId="0" applyBorder="1" applyAlignment="1" applyProtection="1">
      <alignment vertical="center" wrapText="1"/>
      <protection locked="0"/>
    </xf>
    <xf numFmtId="0" fontId="0" fillId="0" borderId="13" xfId="0" applyBorder="1" applyAlignment="1" applyProtection="1">
      <alignment vertical="center" wrapText="1"/>
      <protection locked="0"/>
    </xf>
    <xf numFmtId="0" fontId="0" fillId="0" borderId="1" xfId="0" applyBorder="1" applyAlignment="1" applyProtection="1">
      <alignment horizontal="center" vertical="center"/>
      <protection locked="0"/>
    </xf>
    <xf numFmtId="0" fontId="0" fillId="0" borderId="20" xfId="0" applyBorder="1" applyAlignment="1" applyProtection="1">
      <alignment vertical="center" wrapText="1"/>
      <protection locked="0"/>
    </xf>
    <xf numFmtId="0" fontId="0" fillId="0" borderId="20" xfId="0" applyBorder="1" applyAlignment="1" applyProtection="1">
      <alignment horizontal="center" vertical="center"/>
      <protection locked="0"/>
    </xf>
    <xf numFmtId="0" fontId="2" fillId="0" borderId="6" xfId="0" applyFont="1" applyBorder="1" applyAlignment="1">
      <alignment horizontal="center" vertical="center" wrapText="1"/>
    </xf>
    <xf numFmtId="0" fontId="0" fillId="0" borderId="6" xfId="0" applyBorder="1" applyAlignment="1" applyProtection="1">
      <alignment vertical="center" wrapText="1"/>
      <protection locked="0"/>
    </xf>
    <xf numFmtId="0" fontId="2" fillId="0" borderId="6" xfId="0" applyFont="1" applyBorder="1" applyAlignment="1">
      <alignment horizontal="center" vertical="center"/>
    </xf>
    <xf numFmtId="0" fontId="2" fillId="0" borderId="6" xfId="0" applyFont="1" applyBorder="1" applyAlignment="1">
      <alignment horizontal="left"/>
    </xf>
    <xf numFmtId="0" fontId="2" fillId="0" borderId="44" xfId="0" applyFont="1" applyBorder="1" applyAlignment="1">
      <alignment horizontal="left"/>
    </xf>
    <xf numFmtId="0" fontId="2" fillId="0" borderId="1" xfId="0" applyFont="1" applyBorder="1" applyAlignment="1">
      <alignment horizontal="left"/>
    </xf>
    <xf numFmtId="0" fontId="2" fillId="0" borderId="11" xfId="0" applyFont="1" applyBorder="1" applyAlignment="1">
      <alignment horizontal="left"/>
    </xf>
    <xf numFmtId="2" fontId="0" fillId="6" borderId="20" xfId="0" applyNumberFormat="1" applyFill="1" applyBorder="1" applyAlignment="1" applyProtection="1">
      <alignment horizontal="right"/>
      <protection locked="0"/>
    </xf>
    <xf numFmtId="0" fontId="0" fillId="13" borderId="16" xfId="0" applyFill="1" applyBorder="1" applyAlignment="1">
      <alignment horizontal="center"/>
    </xf>
    <xf numFmtId="0" fontId="0" fillId="0" borderId="6" xfId="0" applyBorder="1" applyAlignment="1" applyProtection="1">
      <alignment horizontal="center" vertical="center"/>
      <protection locked="0"/>
    </xf>
    <xf numFmtId="0" fontId="23" fillId="19" borderId="2" xfId="0" applyFont="1" applyFill="1" applyBorder="1" applyAlignment="1" applyProtection="1">
      <alignment horizontal="center" vertical="center"/>
      <protection locked="0"/>
    </xf>
    <xf numFmtId="0" fontId="23" fillId="19" borderId="3" xfId="0" applyFont="1" applyFill="1" applyBorder="1" applyAlignment="1" applyProtection="1">
      <alignment horizontal="center" vertical="center"/>
      <protection locked="0"/>
    </xf>
    <xf numFmtId="0" fontId="23" fillId="19" borderId="21" xfId="0" applyFont="1" applyFill="1" applyBorder="1" applyAlignment="1" applyProtection="1">
      <alignment horizontal="center" vertical="center"/>
      <protection locked="0"/>
    </xf>
    <xf numFmtId="0" fontId="2" fillId="0" borderId="20" xfId="0" applyFont="1" applyBorder="1" applyAlignment="1">
      <alignment horizontal="left"/>
    </xf>
    <xf numFmtId="0" fontId="2" fillId="0" borderId="14" xfId="0" applyFont="1" applyBorder="1" applyAlignment="1">
      <alignment horizontal="left"/>
    </xf>
    <xf numFmtId="0" fontId="7" fillId="0" borderId="10" xfId="3" applyFont="1" applyFill="1" applyBorder="1" applyAlignment="1" applyProtection="1">
      <alignment horizontal="center" vertical="center" wrapText="1"/>
    </xf>
    <xf numFmtId="0" fontId="7" fillId="0" borderId="3" xfId="3" applyFont="1" applyFill="1" applyBorder="1" applyAlignment="1" applyProtection="1">
      <alignment horizontal="center" vertical="center" wrapText="1"/>
    </xf>
    <xf numFmtId="0" fontId="7" fillId="0" borderId="21" xfId="3" applyFont="1" applyFill="1" applyBorder="1" applyAlignment="1" applyProtection="1">
      <alignment horizontal="center" vertical="center" wrapText="1"/>
    </xf>
    <xf numFmtId="0" fontId="2" fillId="0" borderId="25" xfId="0" applyFont="1" applyBorder="1" applyAlignment="1">
      <alignment horizontal="center" vertical="center" wrapText="1"/>
    </xf>
    <xf numFmtId="0" fontId="2" fillId="0" borderId="0" xfId="0" applyFont="1" applyAlignment="1">
      <alignment horizontal="center" vertical="center" wrapText="1"/>
    </xf>
    <xf numFmtId="0" fontId="2" fillId="0" borderId="8" xfId="0" applyFont="1" applyBorder="1" applyAlignment="1">
      <alignment horizontal="left"/>
    </xf>
    <xf numFmtId="0" fontId="2" fillId="0" borderId="9" xfId="0" applyFont="1" applyBorder="1" applyAlignment="1">
      <alignment horizontal="left"/>
    </xf>
    <xf numFmtId="2" fontId="0" fillId="0" borderId="2" xfId="0" applyNumberFormat="1" applyBorder="1" applyAlignment="1" applyProtection="1">
      <alignment horizontal="right" wrapText="1"/>
      <protection locked="0"/>
    </xf>
    <xf numFmtId="2" fontId="0" fillId="0" borderId="3" xfId="0" applyNumberFormat="1" applyBorder="1" applyAlignment="1" applyProtection="1">
      <alignment horizontal="right" wrapText="1"/>
      <protection locked="0"/>
    </xf>
    <xf numFmtId="2" fontId="0" fillId="0" borderId="21" xfId="0" applyNumberFormat="1" applyBorder="1" applyAlignment="1" applyProtection="1">
      <alignment horizontal="right" wrapText="1"/>
      <protection locked="0"/>
    </xf>
    <xf numFmtId="2" fontId="0" fillId="0" borderId="37" xfId="0" applyNumberFormat="1" applyBorder="1" applyAlignment="1" applyProtection="1">
      <alignment horizontal="right" wrapText="1"/>
      <protection locked="0"/>
    </xf>
    <xf numFmtId="2" fontId="0" fillId="0" borderId="27" xfId="0" applyNumberFormat="1" applyBorder="1" applyAlignment="1" applyProtection="1">
      <alignment horizontal="right" wrapText="1"/>
      <protection locked="0"/>
    </xf>
    <xf numFmtId="2" fontId="0" fillId="0" borderId="36" xfId="0" applyNumberFormat="1" applyBorder="1" applyAlignment="1" applyProtection="1">
      <alignment horizontal="right" wrapText="1"/>
      <protection locked="0"/>
    </xf>
    <xf numFmtId="2" fontId="0" fillId="0" borderId="1" xfId="0" applyNumberFormat="1" applyBorder="1" applyAlignment="1" applyProtection="1">
      <alignment horizontal="right" wrapText="1"/>
      <protection locked="0"/>
    </xf>
    <xf numFmtId="2" fontId="0" fillId="0" borderId="11" xfId="0" applyNumberFormat="1" applyBorder="1" applyAlignment="1" applyProtection="1">
      <alignment horizontal="right" wrapText="1"/>
      <protection locked="0"/>
    </xf>
    <xf numFmtId="0" fontId="0" fillId="7" borderId="16" xfId="0" applyFill="1" applyBorder="1" applyAlignment="1" applyProtection="1">
      <alignment horizontal="center"/>
      <protection locked="0"/>
    </xf>
    <xf numFmtId="0" fontId="0" fillId="7" borderId="24" xfId="0" applyFill="1" applyBorder="1" applyAlignment="1" applyProtection="1">
      <alignment horizontal="center"/>
      <protection locked="0"/>
    </xf>
    <xf numFmtId="2" fontId="0" fillId="6" borderId="46" xfId="0" applyNumberFormat="1" applyFill="1" applyBorder="1" applyAlignment="1" applyProtection="1">
      <alignment horizontal="right" wrapText="1"/>
      <protection locked="0"/>
    </xf>
    <xf numFmtId="0" fontId="0" fillId="0" borderId="2" xfId="0" applyBorder="1" applyAlignment="1" applyProtection="1">
      <alignment vertical="center" wrapText="1"/>
      <protection locked="0"/>
    </xf>
    <xf numFmtId="0" fontId="0" fillId="0" borderId="3" xfId="0" applyBorder="1" applyAlignment="1" applyProtection="1">
      <alignment vertical="center" wrapText="1"/>
      <protection locked="0"/>
    </xf>
    <xf numFmtId="0" fontId="0" fillId="0" borderId="4" xfId="0" applyBorder="1" applyAlignment="1" applyProtection="1">
      <alignment vertical="center" wrapText="1"/>
      <protection locked="0"/>
    </xf>
    <xf numFmtId="0" fontId="0" fillId="13" borderId="3" xfId="0" applyFill="1" applyBorder="1" applyAlignment="1">
      <alignment horizontal="center"/>
    </xf>
    <xf numFmtId="0" fontId="0" fillId="13" borderId="4" xfId="0" applyFill="1" applyBorder="1" applyAlignment="1">
      <alignment horizontal="center"/>
    </xf>
    <xf numFmtId="0" fontId="0" fillId="13" borderId="27" xfId="0" applyFill="1" applyBorder="1" applyAlignment="1">
      <alignment horizontal="center"/>
    </xf>
    <xf numFmtId="0" fontId="0" fillId="13" borderId="13" xfId="0" applyFill="1" applyBorder="1" applyAlignment="1">
      <alignment horizontal="center"/>
    </xf>
    <xf numFmtId="0" fontId="0" fillId="6" borderId="2" xfId="0" applyFill="1" applyBorder="1" applyAlignment="1" applyProtection="1">
      <alignment horizontal="right"/>
      <protection locked="0"/>
    </xf>
    <xf numFmtId="0" fontId="0" fillId="6" borderId="3" xfId="0" applyFill="1" applyBorder="1" applyAlignment="1" applyProtection="1">
      <alignment horizontal="right"/>
      <protection locked="0"/>
    </xf>
    <xf numFmtId="0" fontId="0" fillId="6" borderId="4" xfId="0" applyFill="1" applyBorder="1" applyAlignment="1" applyProtection="1">
      <alignment horizontal="right"/>
      <protection locked="0"/>
    </xf>
    <xf numFmtId="0" fontId="24" fillId="19" borderId="3" xfId="0" applyFont="1" applyFill="1" applyBorder="1" applyAlignment="1">
      <alignment horizontal="left" vertical="center" wrapText="1"/>
    </xf>
    <xf numFmtId="0" fontId="24" fillId="19" borderId="4" xfId="0" applyFont="1" applyFill="1" applyBorder="1" applyAlignment="1">
      <alignment horizontal="left" vertical="center" wrapText="1"/>
    </xf>
    <xf numFmtId="0" fontId="37" fillId="0" borderId="5" xfId="3" applyFont="1" applyFill="1" applyBorder="1" applyAlignment="1">
      <alignment horizontal="center" vertical="center" wrapText="1"/>
    </xf>
    <xf numFmtId="0" fontId="37" fillId="0" borderId="0" xfId="3" applyFont="1" applyFill="1" applyBorder="1" applyAlignment="1">
      <alignment horizontal="center" vertical="center" wrapText="1"/>
    </xf>
    <xf numFmtId="0" fontId="37" fillId="0" borderId="41" xfId="3" applyFont="1" applyFill="1" applyBorder="1" applyAlignment="1">
      <alignment horizontal="center" vertical="center" wrapText="1"/>
    </xf>
    <xf numFmtId="0" fontId="37" fillId="0" borderId="51" xfId="3" applyFont="1" applyFill="1" applyBorder="1" applyAlignment="1">
      <alignment horizontal="center" vertical="center" wrapText="1"/>
    </xf>
    <xf numFmtId="0" fontId="37" fillId="0" borderId="85" xfId="3" applyFont="1" applyFill="1" applyBorder="1" applyAlignment="1">
      <alignment horizontal="center" vertical="center" wrapText="1"/>
    </xf>
    <xf numFmtId="0" fontId="37" fillId="0" borderId="44" xfId="3" applyFont="1" applyFill="1" applyBorder="1" applyAlignment="1">
      <alignment horizontal="center" vertical="center" wrapText="1"/>
    </xf>
    <xf numFmtId="0" fontId="2" fillId="7" borderId="19" xfId="0" applyFont="1" applyFill="1" applyBorder="1" applyAlignment="1">
      <alignment horizontal="left" vertical="center" wrapText="1"/>
    </xf>
    <xf numFmtId="0" fontId="2" fillId="7" borderId="20" xfId="0" applyFont="1" applyFill="1" applyBorder="1" applyAlignment="1">
      <alignment horizontal="left" vertical="center" wrapText="1"/>
    </xf>
    <xf numFmtId="0" fontId="4" fillId="19" borderId="18" xfId="0" applyFont="1" applyFill="1" applyBorder="1" applyAlignment="1">
      <alignment horizontal="left" vertical="center" wrapText="1"/>
    </xf>
    <xf numFmtId="0" fontId="4" fillId="19" borderId="1" xfId="0" applyFont="1" applyFill="1" applyBorder="1" applyAlignment="1">
      <alignment horizontal="left" vertical="center" wrapText="1"/>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0" fontId="2" fillId="7" borderId="0" xfId="0" applyFont="1" applyFill="1" applyAlignment="1">
      <alignment horizontal="center" vertical="center" wrapText="1"/>
    </xf>
    <xf numFmtId="0" fontId="0" fillId="0" borderId="36" xfId="0" applyBorder="1" applyAlignment="1" applyProtection="1">
      <alignment horizontal="left" vertical="top" wrapText="1"/>
      <protection locked="0"/>
    </xf>
    <xf numFmtId="0" fontId="0" fillId="0" borderId="7" xfId="0" applyBorder="1" applyAlignment="1">
      <alignment horizontal="left" vertical="center" wrapText="1"/>
    </xf>
    <xf numFmtId="0" fontId="0" fillId="0" borderId="8" xfId="0" applyBorder="1" applyAlignment="1">
      <alignment horizontal="left" vertical="center" wrapText="1"/>
    </xf>
    <xf numFmtId="0" fontId="37" fillId="0" borderId="52" xfId="3" applyFont="1" applyFill="1" applyBorder="1" applyAlignment="1">
      <alignment horizontal="center" vertical="center"/>
    </xf>
    <xf numFmtId="0" fontId="37" fillId="0" borderId="5" xfId="3" applyFont="1" applyFill="1" applyBorder="1" applyAlignment="1">
      <alignment horizontal="center" vertical="center"/>
    </xf>
    <xf numFmtId="0" fontId="37" fillId="0" borderId="47" xfId="3" applyFont="1" applyFill="1" applyBorder="1" applyAlignment="1">
      <alignment horizontal="center" vertical="center"/>
    </xf>
    <xf numFmtId="0" fontId="0" fillId="19" borderId="72" xfId="0" applyFill="1" applyBorder="1" applyAlignment="1">
      <alignment horizontal="center" vertical="center" wrapText="1"/>
    </xf>
    <xf numFmtId="0" fontId="0" fillId="19" borderId="61" xfId="0" applyFill="1" applyBorder="1" applyAlignment="1">
      <alignment horizontal="center" vertical="center" wrapText="1"/>
    </xf>
    <xf numFmtId="0" fontId="0" fillId="19" borderId="79" xfId="0" applyFill="1" applyBorder="1" applyAlignment="1">
      <alignment horizontal="center" vertical="center" wrapText="1"/>
    </xf>
    <xf numFmtId="0" fontId="2" fillId="7" borderId="25" xfId="0" applyFont="1" applyFill="1" applyBorder="1" applyAlignment="1">
      <alignment horizontal="center" vertical="center"/>
    </xf>
    <xf numFmtId="0" fontId="0" fillId="7" borderId="45" xfId="0" applyFill="1" applyBorder="1" applyAlignment="1">
      <alignment horizontal="left" vertical="center" wrapText="1"/>
    </xf>
    <xf numFmtId="0" fontId="0" fillId="7" borderId="22" xfId="0" applyFill="1" applyBorder="1" applyAlignment="1">
      <alignment horizontal="left" vertical="center" wrapText="1"/>
    </xf>
    <xf numFmtId="0" fontId="0" fillId="7" borderId="60" xfId="0" applyFill="1" applyBorder="1" applyAlignment="1">
      <alignment horizontal="left" vertical="center" wrapText="1"/>
    </xf>
    <xf numFmtId="0" fontId="2" fillId="4" borderId="29" xfId="0" applyFont="1" applyFill="1" applyBorder="1" applyAlignment="1">
      <alignment horizontal="center"/>
    </xf>
    <xf numFmtId="0" fontId="2" fillId="4" borderId="31" xfId="0" applyFont="1" applyFill="1" applyBorder="1" applyAlignment="1">
      <alignment horizontal="center"/>
    </xf>
    <xf numFmtId="0" fontId="2" fillId="4" borderId="7" xfId="0" applyFont="1" applyFill="1" applyBorder="1" applyAlignment="1">
      <alignment horizontal="center"/>
    </xf>
    <xf numFmtId="0" fontId="2" fillId="4" borderId="8" xfId="0" applyFont="1" applyFill="1" applyBorder="1" applyAlignment="1">
      <alignment horizontal="center"/>
    </xf>
    <xf numFmtId="0" fontId="2" fillId="4" borderId="9" xfId="0" applyFont="1" applyFill="1" applyBorder="1" applyAlignment="1">
      <alignment horizontal="center"/>
    </xf>
    <xf numFmtId="0" fontId="37" fillId="0" borderId="10" xfId="3" applyFont="1" applyFill="1" applyBorder="1" applyAlignment="1">
      <alignment horizontal="center" vertical="center"/>
    </xf>
    <xf numFmtId="0" fontId="37" fillId="0" borderId="3" xfId="3" applyFont="1" applyFill="1" applyBorder="1" applyAlignment="1">
      <alignment horizontal="center" vertical="center"/>
    </xf>
    <xf numFmtId="0" fontId="37" fillId="0" borderId="21" xfId="3" applyFont="1" applyFill="1" applyBorder="1" applyAlignment="1">
      <alignment horizontal="center" vertical="center"/>
    </xf>
    <xf numFmtId="0" fontId="37" fillId="0" borderId="52" xfId="3" applyFont="1" applyFill="1" applyBorder="1" applyAlignment="1">
      <alignment horizontal="center" vertical="center" wrapText="1"/>
    </xf>
    <xf numFmtId="0" fontId="37" fillId="0" borderId="47" xfId="3" applyFont="1" applyFill="1" applyBorder="1" applyAlignment="1">
      <alignment horizontal="center" vertical="center" wrapText="1"/>
    </xf>
    <xf numFmtId="0" fontId="2" fillId="0" borderId="10" xfId="0" applyFont="1" applyBorder="1" applyAlignment="1">
      <alignment horizontal="left" vertical="center"/>
    </xf>
    <xf numFmtId="0" fontId="2" fillId="0" borderId="3" xfId="0" applyFont="1" applyBorder="1" applyAlignment="1">
      <alignment horizontal="left" vertical="center"/>
    </xf>
    <xf numFmtId="0" fontId="2" fillId="0" borderId="21" xfId="0" applyFont="1" applyBorder="1" applyAlignment="1">
      <alignment horizontal="left" vertical="center"/>
    </xf>
    <xf numFmtId="0" fontId="0" fillId="0" borderId="57" xfId="0" applyBorder="1" applyAlignment="1">
      <alignment horizontal="left" vertical="center" wrapText="1"/>
    </xf>
    <xf numFmtId="0" fontId="4" fillId="7" borderId="80" xfId="0" applyFont="1" applyFill="1" applyBorder="1" applyAlignment="1">
      <alignment horizontal="center"/>
    </xf>
    <xf numFmtId="0" fontId="4" fillId="7" borderId="84" xfId="0" applyFont="1" applyFill="1" applyBorder="1" applyAlignment="1">
      <alignment horizontal="center"/>
    </xf>
    <xf numFmtId="0" fontId="0" fillId="19" borderId="0" xfId="0" applyFill="1" applyAlignment="1">
      <alignment horizontal="left" vertical="center" wrapText="1" indent="2"/>
    </xf>
    <xf numFmtId="0" fontId="0" fillId="19" borderId="54" xfId="0" applyFill="1" applyBorder="1" applyAlignment="1">
      <alignment horizontal="left" vertical="center" wrapText="1" indent="2"/>
    </xf>
    <xf numFmtId="0" fontId="0" fillId="19" borderId="5" xfId="0" applyFill="1" applyBorder="1" applyAlignment="1">
      <alignment horizontal="left" vertical="center" wrapText="1" indent="2"/>
    </xf>
    <xf numFmtId="0" fontId="0" fillId="19" borderId="53" xfId="0" applyFill="1" applyBorder="1" applyAlignment="1">
      <alignment horizontal="left" vertical="center" wrapText="1" indent="2"/>
    </xf>
    <xf numFmtId="0" fontId="0" fillId="19" borderId="3" xfId="0" applyFill="1" applyBorder="1" applyAlignment="1">
      <alignment horizontal="left" vertical="center" wrapText="1" indent="2"/>
    </xf>
    <xf numFmtId="0" fontId="0" fillId="19" borderId="4" xfId="0" applyFill="1" applyBorder="1" applyAlignment="1">
      <alignment horizontal="left" vertical="center" wrapText="1" indent="2"/>
    </xf>
    <xf numFmtId="0" fontId="0" fillId="19" borderId="22" xfId="0" applyFill="1" applyBorder="1" applyAlignment="1">
      <alignment horizontal="left" vertical="center" wrapText="1" indent="2"/>
    </xf>
    <xf numFmtId="0" fontId="0" fillId="19" borderId="60" xfId="0" applyFill="1" applyBorder="1" applyAlignment="1">
      <alignment horizontal="left" vertical="center" wrapText="1" indent="2"/>
    </xf>
    <xf numFmtId="0" fontId="0" fillId="7" borderId="49" xfId="0" applyFill="1" applyBorder="1" applyAlignment="1">
      <alignment horizontal="left" vertical="center" wrapText="1"/>
    </xf>
    <xf numFmtId="0" fontId="0" fillId="7" borderId="41" xfId="0" applyFill="1" applyBorder="1" applyAlignment="1">
      <alignment horizontal="left" vertical="center" wrapText="1"/>
    </xf>
    <xf numFmtId="0" fontId="0" fillId="7" borderId="40" xfId="0" applyFill="1" applyBorder="1" applyAlignment="1">
      <alignment horizontal="left" vertical="center" wrapText="1"/>
    </xf>
    <xf numFmtId="0" fontId="0" fillId="7" borderId="12" xfId="0" applyFill="1" applyBorder="1" applyAlignment="1">
      <alignment horizontal="left" vertical="center" wrapText="1"/>
    </xf>
    <xf numFmtId="0" fontId="0" fillId="7" borderId="27" xfId="0" applyFill="1" applyBorder="1" applyAlignment="1">
      <alignment horizontal="left" vertical="center" wrapText="1"/>
    </xf>
    <xf numFmtId="0" fontId="0" fillId="7" borderId="13" xfId="0" applyFill="1" applyBorder="1" applyAlignment="1">
      <alignment horizontal="left" vertical="center" wrapText="1"/>
    </xf>
    <xf numFmtId="0" fontId="2" fillId="3" borderId="33"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2" fillId="3" borderId="35" xfId="0" applyFont="1" applyFill="1" applyBorder="1" applyAlignment="1">
      <alignment horizontal="center" vertical="center" wrapText="1"/>
    </xf>
    <xf numFmtId="2" fontId="1" fillId="13" borderId="61" xfId="2" applyFill="1" applyBorder="1" applyAlignment="1">
      <alignment horizontal="center" vertical="center"/>
    </xf>
    <xf numFmtId="2" fontId="1" fillId="13" borderId="63" xfId="2" applyFill="1" applyBorder="1" applyAlignment="1">
      <alignment horizontal="center" vertical="center"/>
    </xf>
    <xf numFmtId="2" fontId="0" fillId="13" borderId="33" xfId="2" applyFont="1" applyFill="1" applyBorder="1" applyAlignment="1">
      <alignment horizontal="center" vertical="center"/>
    </xf>
    <xf numFmtId="2" fontId="0" fillId="13" borderId="34" xfId="2" applyFont="1" applyFill="1" applyBorder="1" applyAlignment="1">
      <alignment horizontal="center" vertical="center"/>
    </xf>
    <xf numFmtId="2" fontId="0" fillId="13" borderId="35" xfId="2" applyFont="1" applyFill="1" applyBorder="1" applyAlignment="1">
      <alignment horizontal="center" vertical="center"/>
    </xf>
    <xf numFmtId="0" fontId="7" fillId="0" borderId="43"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56" xfId="0" applyFont="1" applyBorder="1" applyAlignment="1">
      <alignment horizontal="center" vertical="center" wrapText="1"/>
    </xf>
    <xf numFmtId="0" fontId="2" fillId="7" borderId="0" xfId="0" applyFont="1" applyFill="1" applyAlignment="1">
      <alignment horizontal="center" vertical="center"/>
    </xf>
    <xf numFmtId="2" fontId="0" fillId="0" borderId="46" xfId="0" applyNumberFormat="1" applyBorder="1" applyAlignment="1" applyProtection="1">
      <alignment horizontal="right" wrapText="1"/>
      <protection locked="0"/>
    </xf>
    <xf numFmtId="2" fontId="0" fillId="0" borderId="5" xfId="0" applyNumberFormat="1" applyBorder="1" applyAlignment="1" applyProtection="1">
      <alignment horizontal="right" wrapText="1"/>
      <protection locked="0"/>
    </xf>
    <xf numFmtId="2" fontId="0" fillId="0" borderId="47" xfId="0" applyNumberFormat="1" applyBorder="1" applyAlignment="1" applyProtection="1">
      <alignment horizontal="right" wrapText="1"/>
      <protection locked="0"/>
    </xf>
    <xf numFmtId="0" fontId="37" fillId="0" borderId="5" xfId="3" applyFont="1" applyFill="1" applyBorder="1" applyAlignment="1" applyProtection="1">
      <alignment horizontal="center" vertical="center" wrapText="1"/>
    </xf>
    <xf numFmtId="0" fontId="37" fillId="0" borderId="47" xfId="3" applyFont="1" applyFill="1" applyBorder="1" applyAlignment="1" applyProtection="1">
      <alignment horizontal="center" vertical="center" wrapText="1"/>
    </xf>
    <xf numFmtId="0" fontId="7" fillId="0" borderId="4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7" xfId="0" applyFont="1" applyBorder="1" applyAlignment="1">
      <alignment horizontal="center" vertical="center" wrapText="1"/>
    </xf>
    <xf numFmtId="2" fontId="0" fillId="13" borderId="43" xfId="0" applyNumberFormat="1" applyFill="1" applyBorder="1" applyAlignment="1">
      <alignment horizontal="right" wrapText="1"/>
    </xf>
    <xf numFmtId="2" fontId="0" fillId="13" borderId="41" xfId="0" applyNumberFormat="1" applyFill="1" applyBorder="1" applyAlignment="1">
      <alignment horizontal="right" wrapText="1"/>
    </xf>
    <xf numFmtId="2" fontId="0" fillId="13" borderId="56" xfId="0" applyNumberFormat="1" applyFill="1" applyBorder="1" applyAlignment="1">
      <alignment horizontal="right" wrapText="1"/>
    </xf>
    <xf numFmtId="2" fontId="0" fillId="13" borderId="37" xfId="0" applyNumberFormat="1" applyFill="1" applyBorder="1" applyAlignment="1">
      <alignment horizontal="right" wrapText="1"/>
    </xf>
    <xf numFmtId="2" fontId="0" fillId="13" borderId="14" xfId="0" applyNumberFormat="1" applyFill="1" applyBorder="1" applyAlignment="1">
      <alignment horizontal="right" wrapText="1"/>
    </xf>
    <xf numFmtId="0" fontId="0" fillId="0" borderId="4" xfId="0" applyBorder="1" applyAlignment="1" applyProtection="1">
      <alignment horizontal="center"/>
      <protection locked="0"/>
    </xf>
    <xf numFmtId="2" fontId="0" fillId="6" borderId="1" xfId="0" applyNumberFormat="1" applyFill="1" applyBorder="1" applyAlignment="1" applyProtection="1">
      <alignment horizontal="right" wrapText="1"/>
      <protection locked="0"/>
    </xf>
    <xf numFmtId="2" fontId="0" fillId="6" borderId="11" xfId="0" applyNumberFormat="1" applyFill="1" applyBorder="1" applyAlignment="1" applyProtection="1">
      <alignment horizontal="right" wrapText="1"/>
      <protection locked="0"/>
    </xf>
    <xf numFmtId="0" fontId="2" fillId="3" borderId="7" xfId="0" applyFont="1" applyFill="1" applyBorder="1" applyAlignment="1">
      <alignment horizontal="center"/>
    </xf>
    <xf numFmtId="0" fontId="2" fillId="3" borderId="8" xfId="0" applyFont="1" applyFill="1" applyBorder="1" applyAlignment="1">
      <alignment horizontal="center"/>
    </xf>
    <xf numFmtId="0" fontId="2" fillId="3" borderId="9" xfId="0" applyFont="1" applyFill="1" applyBorder="1" applyAlignment="1">
      <alignment horizontal="center"/>
    </xf>
    <xf numFmtId="0" fontId="2"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1" xfId="0" applyFont="1" applyBorder="1" applyAlignment="1">
      <alignment horizontal="center" vertical="center" wrapText="1"/>
    </xf>
    <xf numFmtId="2" fontId="9" fillId="6" borderId="2" xfId="3" applyNumberFormat="1" applyFont="1" applyFill="1" applyBorder="1" applyAlignment="1" applyProtection="1">
      <alignment horizontal="right" vertical="center" wrapText="1"/>
      <protection locked="0"/>
    </xf>
    <xf numFmtId="2" fontId="9" fillId="6" borderId="11" xfId="3" applyNumberFormat="1" applyFont="1" applyFill="1" applyBorder="1" applyAlignment="1" applyProtection="1">
      <alignment horizontal="right" vertical="center" wrapText="1"/>
      <protection locked="0"/>
    </xf>
    <xf numFmtId="10" fontId="0" fillId="13" borderId="27" xfId="0" applyNumberFormat="1" applyFill="1" applyBorder="1" applyAlignment="1">
      <alignment horizontal="right" vertical="center"/>
    </xf>
    <xf numFmtId="10" fontId="0" fillId="13" borderId="36" xfId="0" applyNumberFormat="1" applyFill="1" applyBorder="1" applyAlignment="1">
      <alignment horizontal="right" vertical="center"/>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2" fontId="0" fillId="13" borderId="20" xfId="0" applyNumberFormat="1" applyFill="1" applyBorder="1" applyAlignment="1">
      <alignment horizontal="right" wrapText="1"/>
    </xf>
    <xf numFmtId="2" fontId="0" fillId="0" borderId="57" xfId="0" applyNumberFormat="1" applyBorder="1" applyAlignment="1" applyProtection="1">
      <alignment horizontal="right" vertical="center"/>
      <protection locked="0"/>
    </xf>
    <xf numFmtId="2" fontId="0" fillId="0" borderId="58" xfId="0" applyNumberFormat="1" applyBorder="1" applyAlignment="1" applyProtection="1">
      <alignment horizontal="right" vertical="center"/>
      <protection locked="0"/>
    </xf>
    <xf numFmtId="0" fontId="2" fillId="3" borderId="7" xfId="0" applyFont="1" applyFill="1" applyBorder="1" applyAlignment="1">
      <alignment horizontal="center" wrapText="1"/>
    </xf>
    <xf numFmtId="0" fontId="2" fillId="3" borderId="8" xfId="0" applyFont="1" applyFill="1" applyBorder="1" applyAlignment="1">
      <alignment horizontal="center" wrapText="1"/>
    </xf>
    <xf numFmtId="0" fontId="2" fillId="3" borderId="9" xfId="0" applyFont="1" applyFill="1" applyBorder="1" applyAlignment="1">
      <alignment horizontal="center" wrapText="1"/>
    </xf>
    <xf numFmtId="0" fontId="0" fillId="0" borderId="48" xfId="0" applyBorder="1" applyAlignment="1" applyProtection="1">
      <alignment horizontal="center" vertical="center" wrapText="1"/>
      <protection locked="0"/>
    </xf>
    <xf numFmtId="0" fontId="0" fillId="0" borderId="51" xfId="0" applyBorder="1" applyAlignment="1" applyProtection="1">
      <alignment horizontal="center" vertical="center" wrapText="1"/>
      <protection locked="0"/>
    </xf>
    <xf numFmtId="2" fontId="0" fillId="6" borderId="73" xfId="0" applyNumberFormat="1" applyFill="1" applyBorder="1" applyAlignment="1" applyProtection="1">
      <alignment horizontal="right" vertical="center" wrapText="1"/>
      <protection locked="0"/>
    </xf>
    <xf numFmtId="2" fontId="0" fillId="6" borderId="16" xfId="0" applyNumberFormat="1" applyFill="1" applyBorder="1" applyAlignment="1" applyProtection="1">
      <alignment horizontal="right" vertical="center" wrapText="1"/>
      <protection locked="0"/>
    </xf>
    <xf numFmtId="2" fontId="0" fillId="6" borderId="17" xfId="0" applyNumberFormat="1" applyFill="1" applyBorder="1" applyAlignment="1" applyProtection="1">
      <alignment horizontal="right" vertical="center" wrapText="1"/>
      <protection locked="0"/>
    </xf>
    <xf numFmtId="2" fontId="0" fillId="6" borderId="2" xfId="0" applyNumberFormat="1" applyFill="1" applyBorder="1" applyAlignment="1" applyProtection="1">
      <alignment horizontal="right" vertical="center" wrapText="1"/>
      <protection locked="0"/>
    </xf>
    <xf numFmtId="2" fontId="0" fillId="6" borderId="3" xfId="0" applyNumberFormat="1" applyFill="1" applyBorder="1" applyAlignment="1" applyProtection="1">
      <alignment horizontal="right" vertical="center" wrapText="1"/>
      <protection locked="0"/>
    </xf>
    <xf numFmtId="2" fontId="0" fillId="6" borderId="21" xfId="0" applyNumberFormat="1" applyFill="1" applyBorder="1" applyAlignment="1" applyProtection="1">
      <alignment horizontal="right" vertical="center" wrapText="1"/>
      <protection locked="0"/>
    </xf>
    <xf numFmtId="10" fontId="0" fillId="13" borderId="37" xfId="0" applyNumberFormat="1" applyFill="1" applyBorder="1" applyAlignment="1">
      <alignment horizontal="right" vertical="center" wrapText="1"/>
    </xf>
    <xf numFmtId="10" fontId="0" fillId="13" borderId="27" xfId="0" applyNumberFormat="1" applyFill="1" applyBorder="1" applyAlignment="1">
      <alignment horizontal="right" vertical="center" wrapText="1"/>
    </xf>
    <xf numFmtId="10" fontId="0" fillId="13" borderId="36" xfId="0" applyNumberFormat="1" applyFill="1" applyBorder="1" applyAlignment="1">
      <alignment horizontal="right" vertical="center" wrapText="1"/>
    </xf>
    <xf numFmtId="2" fontId="9" fillId="0" borderId="8" xfId="0" applyNumberFormat="1" applyFont="1" applyBorder="1" applyAlignment="1" applyProtection="1">
      <alignment horizontal="right" vertical="center" wrapText="1"/>
      <protection locked="0"/>
    </xf>
    <xf numFmtId="2" fontId="9" fillId="0" borderId="9" xfId="0" applyNumberFormat="1" applyFont="1" applyBorder="1" applyAlignment="1" applyProtection="1">
      <alignment horizontal="right" vertical="center" wrapText="1"/>
      <protection locked="0"/>
    </xf>
    <xf numFmtId="2" fontId="9" fillId="19" borderId="2" xfId="0" applyNumberFormat="1" applyFont="1" applyFill="1" applyBorder="1" applyAlignment="1" applyProtection="1">
      <alignment horizontal="right" vertical="center" wrapText="1"/>
      <protection locked="0"/>
    </xf>
    <xf numFmtId="2" fontId="9" fillId="19" borderId="3" xfId="0" applyNumberFormat="1" applyFont="1" applyFill="1" applyBorder="1" applyAlignment="1" applyProtection="1">
      <alignment horizontal="right" vertical="center" wrapText="1"/>
      <protection locked="0"/>
    </xf>
    <xf numFmtId="2" fontId="9" fillId="19" borderId="21" xfId="0" applyNumberFormat="1" applyFont="1" applyFill="1" applyBorder="1" applyAlignment="1" applyProtection="1">
      <alignment horizontal="right" vertical="center" wrapText="1"/>
      <protection locked="0"/>
    </xf>
    <xf numFmtId="2" fontId="0" fillId="13" borderId="2" xfId="0" applyNumberFormat="1" applyFill="1" applyBorder="1" applyAlignment="1" applyProtection="1">
      <alignment horizontal="right" vertical="center" wrapText="1"/>
      <protection locked="0"/>
    </xf>
    <xf numFmtId="2" fontId="0" fillId="13" borderId="3" xfId="0" applyNumberFormat="1" applyFill="1" applyBorder="1" applyAlignment="1" applyProtection="1">
      <alignment horizontal="right" vertical="center" wrapText="1"/>
      <protection locked="0"/>
    </xf>
    <xf numFmtId="2" fontId="0" fillId="13" borderId="21" xfId="0" applyNumberFormat="1" applyFill="1" applyBorder="1" applyAlignment="1" applyProtection="1">
      <alignment horizontal="right" vertical="center" wrapText="1"/>
      <protection locked="0"/>
    </xf>
    <xf numFmtId="2" fontId="0" fillId="13" borderId="37" xfId="0" applyNumberFormat="1" applyFill="1" applyBorder="1" applyAlignment="1" applyProtection="1">
      <alignment horizontal="right" vertical="center" wrapText="1"/>
      <protection locked="0"/>
    </xf>
    <xf numFmtId="2" fontId="0" fillId="13" borderId="27" xfId="0" applyNumberFormat="1" applyFill="1" applyBorder="1" applyAlignment="1" applyProtection="1">
      <alignment horizontal="right" vertical="center" wrapText="1"/>
      <protection locked="0"/>
    </xf>
    <xf numFmtId="2" fontId="0" fillId="13" borderId="36" xfId="0" applyNumberFormat="1" applyFill="1" applyBorder="1" applyAlignment="1" applyProtection="1">
      <alignment horizontal="right" vertical="center" wrapText="1"/>
      <protection locked="0"/>
    </xf>
    <xf numFmtId="0" fontId="9" fillId="8" borderId="1" xfId="0" applyFont="1" applyFill="1" applyBorder="1" applyAlignment="1">
      <alignment horizontal="center" vertical="center" wrapText="1"/>
    </xf>
    <xf numFmtId="0" fontId="9" fillId="8" borderId="11" xfId="0" applyFont="1" applyFill="1" applyBorder="1" applyAlignment="1">
      <alignment horizontal="center" vertical="center" wrapText="1"/>
    </xf>
    <xf numFmtId="2" fontId="0" fillId="0" borderId="1" xfId="0" applyNumberFormat="1" applyBorder="1" applyAlignment="1" applyProtection="1">
      <alignment horizontal="right" vertical="center" wrapText="1"/>
      <protection locked="0"/>
    </xf>
    <xf numFmtId="2" fontId="0" fillId="0" borderId="11" xfId="0" applyNumberFormat="1" applyBorder="1" applyAlignment="1" applyProtection="1">
      <alignment horizontal="right" vertical="center" wrapText="1"/>
      <protection locked="0"/>
    </xf>
    <xf numFmtId="0" fontId="37" fillId="0" borderId="53" xfId="3" applyFont="1" applyFill="1" applyBorder="1" applyAlignment="1" applyProtection="1">
      <alignment horizontal="center" vertical="center" wrapText="1"/>
    </xf>
    <xf numFmtId="0" fontId="37" fillId="0" borderId="40" xfId="3" applyFont="1" applyFill="1" applyBorder="1" applyAlignment="1" applyProtection="1">
      <alignment horizontal="center" vertical="center" wrapText="1"/>
    </xf>
    <xf numFmtId="2" fontId="0" fillId="19" borderId="73" xfId="0" applyNumberFormat="1" applyFill="1" applyBorder="1" applyAlignment="1" applyProtection="1">
      <alignment horizontal="right" vertical="center" wrapText="1"/>
      <protection locked="0"/>
    </xf>
    <xf numFmtId="2" fontId="0" fillId="19" borderId="16" xfId="0" applyNumberFormat="1" applyFill="1" applyBorder="1" applyAlignment="1" applyProtection="1">
      <alignment horizontal="right" vertical="center" wrapText="1"/>
      <protection locked="0"/>
    </xf>
    <xf numFmtId="2" fontId="0" fillId="19" borderId="17" xfId="0" applyNumberFormat="1" applyFill="1" applyBorder="1" applyAlignment="1" applyProtection="1">
      <alignment horizontal="right" vertical="center" wrapText="1"/>
      <protection locked="0"/>
    </xf>
    <xf numFmtId="10" fontId="0" fillId="13" borderId="37" xfId="0" applyNumberFormat="1" applyFill="1" applyBorder="1" applyAlignment="1" applyProtection="1">
      <alignment horizontal="right" vertical="center"/>
      <protection locked="0"/>
    </xf>
    <xf numFmtId="10" fontId="0" fillId="13" borderId="27" xfId="0" applyNumberFormat="1" applyFill="1" applyBorder="1" applyAlignment="1" applyProtection="1">
      <alignment horizontal="right" vertical="center"/>
      <protection locked="0"/>
    </xf>
    <xf numFmtId="10" fontId="0" fillId="13" borderId="36" xfId="0" applyNumberFormat="1" applyFill="1" applyBorder="1" applyAlignment="1" applyProtection="1">
      <alignment horizontal="right" vertical="center"/>
      <protection locked="0"/>
    </xf>
    <xf numFmtId="2" fontId="0" fillId="6" borderId="43" xfId="0" applyNumberFormat="1" applyFill="1" applyBorder="1" applyAlignment="1" applyProtection="1">
      <alignment horizontal="right" vertical="center" wrapText="1"/>
      <protection locked="0"/>
    </xf>
    <xf numFmtId="2" fontId="0" fillId="6" borderId="41" xfId="0" applyNumberFormat="1" applyFill="1" applyBorder="1" applyAlignment="1" applyProtection="1">
      <alignment horizontal="right" vertical="center" wrapText="1"/>
      <protection locked="0"/>
    </xf>
    <xf numFmtId="2" fontId="0" fillId="6" borderId="56" xfId="0" applyNumberFormat="1" applyFill="1" applyBorder="1" applyAlignment="1" applyProtection="1">
      <alignment horizontal="right" vertical="center" wrapText="1"/>
      <protection locked="0"/>
    </xf>
    <xf numFmtId="2" fontId="0" fillId="6" borderId="37" xfId="0" applyNumberFormat="1" applyFill="1" applyBorder="1" applyAlignment="1" applyProtection="1">
      <alignment horizontal="right" vertical="center" wrapText="1"/>
      <protection locked="0"/>
    </xf>
    <xf numFmtId="2" fontId="0" fillId="6" borderId="27" xfId="0" applyNumberFormat="1" applyFill="1" applyBorder="1" applyAlignment="1" applyProtection="1">
      <alignment horizontal="right" vertical="center" wrapText="1"/>
      <protection locked="0"/>
    </xf>
    <xf numFmtId="2" fontId="0" fillId="6" borderId="36" xfId="0" applyNumberFormat="1" applyFill="1" applyBorder="1" applyAlignment="1" applyProtection="1">
      <alignment horizontal="right" vertical="center" wrapText="1"/>
      <protection locked="0"/>
    </xf>
    <xf numFmtId="0" fontId="2" fillId="4" borderId="7" xfId="0" applyFont="1" applyFill="1" applyBorder="1" applyAlignment="1">
      <alignment horizontal="center" wrapText="1"/>
    </xf>
    <xf numFmtId="0" fontId="2" fillId="4" borderId="8" xfId="0" applyFont="1" applyFill="1" applyBorder="1" applyAlignment="1">
      <alignment horizontal="center" wrapText="1"/>
    </xf>
    <xf numFmtId="0" fontId="2" fillId="4" borderId="9" xfId="0" applyFont="1" applyFill="1" applyBorder="1" applyAlignment="1">
      <alignment horizontal="center" wrapText="1"/>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4" fillId="7" borderId="68" xfId="0" applyFont="1" applyFill="1" applyBorder="1" applyAlignment="1">
      <alignment horizontal="center"/>
    </xf>
    <xf numFmtId="0" fontId="4" fillId="7" borderId="69" xfId="0" applyFont="1" applyFill="1" applyBorder="1" applyAlignment="1">
      <alignment horizontal="center"/>
    </xf>
    <xf numFmtId="0" fontId="4" fillId="7" borderId="70" xfId="0" applyFont="1" applyFill="1" applyBorder="1" applyAlignment="1">
      <alignment horizontal="center"/>
    </xf>
    <xf numFmtId="0" fontId="0" fillId="6" borderId="3" xfId="0" applyFill="1" applyBorder="1" applyAlignment="1" applyProtection="1">
      <alignment horizontal="center" vertical="center"/>
      <protection locked="0"/>
    </xf>
    <xf numFmtId="0" fontId="0" fillId="6" borderId="21" xfId="0" applyFill="1" applyBorder="1" applyAlignment="1" applyProtection="1">
      <alignment horizontal="center" vertical="center"/>
      <protection locked="0"/>
    </xf>
    <xf numFmtId="0" fontId="4" fillId="19" borderId="10" xfId="0" applyFont="1" applyFill="1" applyBorder="1" applyAlignment="1">
      <alignment horizontal="center" vertical="center" wrapText="1"/>
    </xf>
    <xf numFmtId="0" fontId="4" fillId="19" borderId="3" xfId="0" applyFont="1" applyFill="1" applyBorder="1" applyAlignment="1">
      <alignment horizontal="center" vertical="center" wrapText="1"/>
    </xf>
    <xf numFmtId="0" fontId="4" fillId="19" borderId="21" xfId="0" applyFont="1" applyFill="1" applyBorder="1" applyAlignment="1">
      <alignment horizontal="center" vertical="center" wrapText="1"/>
    </xf>
    <xf numFmtId="2" fontId="0" fillId="13" borderId="45" xfId="0" applyNumberFormat="1" applyFill="1" applyBorder="1" applyAlignment="1">
      <alignment horizontal="right" wrapText="1"/>
    </xf>
    <xf numFmtId="2" fontId="0" fillId="13" borderId="22" xfId="0" applyNumberFormat="1" applyFill="1" applyBorder="1" applyAlignment="1">
      <alignment horizontal="right" wrapText="1"/>
    </xf>
    <xf numFmtId="2" fontId="0" fillId="13" borderId="23" xfId="0" applyNumberFormat="1" applyFill="1" applyBorder="1" applyAlignment="1">
      <alignment horizontal="right" wrapText="1"/>
    </xf>
    <xf numFmtId="0" fontId="2" fillId="4" borderId="38" xfId="0" applyFont="1" applyFill="1" applyBorder="1" applyAlignment="1">
      <alignment horizontal="center" wrapText="1"/>
    </xf>
    <xf numFmtId="0" fontId="2" fillId="4" borderId="65" xfId="0" applyFont="1" applyFill="1" applyBorder="1" applyAlignment="1">
      <alignment horizontal="center" wrapText="1"/>
    </xf>
    <xf numFmtId="0" fontId="2" fillId="4" borderId="42" xfId="0" applyFont="1" applyFill="1" applyBorder="1" applyAlignment="1">
      <alignment horizontal="center" wrapText="1"/>
    </xf>
    <xf numFmtId="0" fontId="0" fillId="6" borderId="5" xfId="0" applyFill="1" applyBorder="1" applyAlignment="1" applyProtection="1">
      <alignment horizontal="left" vertical="top"/>
      <protection locked="0"/>
    </xf>
    <xf numFmtId="0" fontId="0" fillId="6" borderId="47" xfId="0" applyFill="1" applyBorder="1" applyAlignment="1" applyProtection="1">
      <alignment horizontal="left" vertical="top"/>
      <protection locked="0"/>
    </xf>
    <xf numFmtId="0" fontId="0" fillId="0" borderId="37"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6" borderId="11" xfId="0" applyFill="1" applyBorder="1" applyAlignment="1" applyProtection="1">
      <alignment horizontal="center" vertical="center"/>
      <protection locked="0"/>
    </xf>
    <xf numFmtId="0" fontId="0" fillId="6" borderId="2" xfId="0" applyFill="1" applyBorder="1" applyAlignment="1" applyProtection="1">
      <alignment horizontal="center" vertical="center"/>
      <protection locked="0"/>
    </xf>
    <xf numFmtId="0" fontId="0" fillId="6" borderId="2" xfId="0" applyFill="1" applyBorder="1" applyAlignment="1" applyProtection="1">
      <alignment horizontal="left" vertical="center"/>
      <protection locked="0"/>
    </xf>
    <xf numFmtId="0" fontId="0" fillId="6" borderId="3" xfId="0" applyFill="1" applyBorder="1" applyAlignment="1" applyProtection="1">
      <alignment horizontal="left" vertical="center"/>
      <protection locked="0"/>
    </xf>
    <xf numFmtId="0" fontId="0" fillId="6" borderId="21" xfId="0" applyFill="1" applyBorder="1" applyAlignment="1" applyProtection="1">
      <alignment horizontal="left" vertical="center"/>
      <protection locked="0"/>
    </xf>
    <xf numFmtId="0" fontId="0" fillId="6" borderId="27" xfId="0" applyFill="1" applyBorder="1" applyAlignment="1" applyProtection="1">
      <alignment horizontal="left" vertical="top"/>
      <protection locked="0"/>
    </xf>
    <xf numFmtId="0" fontId="0" fillId="6" borderId="36" xfId="0" applyFill="1" applyBorder="1" applyAlignment="1" applyProtection="1">
      <alignment horizontal="left" vertical="top"/>
      <protection locked="0"/>
    </xf>
    <xf numFmtId="0" fontId="0" fillId="6" borderId="1" xfId="0" applyFill="1" applyBorder="1" applyAlignment="1" applyProtection="1">
      <alignment horizontal="left" vertical="top"/>
      <protection locked="0"/>
    </xf>
    <xf numFmtId="0" fontId="0" fillId="6" borderId="11" xfId="0" applyFill="1" applyBorder="1" applyAlignment="1" applyProtection="1">
      <alignment horizontal="left" vertical="top"/>
      <protection locked="0"/>
    </xf>
    <xf numFmtId="0" fontId="0" fillId="7" borderId="0" xfId="0" applyFill="1" applyAlignment="1">
      <alignment horizontal="left" vertical="top" wrapText="1"/>
    </xf>
    <xf numFmtId="0" fontId="18" fillId="0" borderId="71" xfId="0" applyFont="1" applyBorder="1" applyAlignment="1">
      <alignment horizontal="left" vertical="center" wrapText="1"/>
    </xf>
    <xf numFmtId="0" fontId="43" fillId="0" borderId="0" xfId="0" applyFont="1" applyAlignment="1">
      <alignment horizontal="left" wrapText="1"/>
    </xf>
    <xf numFmtId="0" fontId="30" fillId="0" borderId="0" xfId="0" applyFont="1" applyAlignment="1">
      <alignment horizontal="left" wrapText="1"/>
    </xf>
    <xf numFmtId="0" fontId="2" fillId="0" borderId="79" xfId="0" applyFont="1" applyBorder="1" applyAlignment="1">
      <alignment horizontal="center" vertical="center"/>
    </xf>
    <xf numFmtId="0" fontId="2" fillId="0" borderId="35" xfId="0" applyFont="1" applyBorder="1" applyAlignment="1">
      <alignment horizontal="center" vertical="center"/>
    </xf>
    <xf numFmtId="166" fontId="2" fillId="13" borderId="79" xfId="2" quotePrefix="1" applyNumberFormat="1" applyFont="1" applyFill="1" applyBorder="1" applyAlignment="1">
      <alignment horizontal="center" vertical="center"/>
    </xf>
    <xf numFmtId="166" fontId="2" fillId="13" borderId="35" xfId="2" applyNumberFormat="1" applyFont="1" applyFill="1" applyBorder="1" applyAlignment="1">
      <alignment horizontal="center" vertical="center"/>
    </xf>
    <xf numFmtId="0" fontId="0" fillId="7" borderId="52" xfId="0" quotePrefix="1" applyFill="1" applyBorder="1" applyAlignment="1">
      <alignment horizontal="left"/>
    </xf>
    <xf numFmtId="0" fontId="0" fillId="7" borderId="5" xfId="0" quotePrefix="1" applyFill="1" applyBorder="1" applyAlignment="1">
      <alignment horizontal="left"/>
    </xf>
    <xf numFmtId="0" fontId="0" fillId="7" borderId="47" xfId="0" quotePrefix="1" applyFill="1" applyBorder="1" applyAlignment="1">
      <alignment horizontal="left"/>
    </xf>
    <xf numFmtId="0" fontId="6" fillId="7" borderId="49" xfId="3" quotePrefix="1" applyFill="1" applyBorder="1" applyAlignment="1" applyProtection="1">
      <alignment horizontal="left"/>
    </xf>
    <xf numFmtId="0" fontId="0" fillId="7" borderId="41" xfId="0" quotePrefix="1" applyFill="1" applyBorder="1" applyAlignment="1">
      <alignment horizontal="left"/>
    </xf>
    <xf numFmtId="0" fontId="0" fillId="7" borderId="56" xfId="0" quotePrefix="1" applyFill="1" applyBorder="1" applyAlignment="1">
      <alignment horizontal="left"/>
    </xf>
    <xf numFmtId="0" fontId="0" fillId="7" borderId="25" xfId="0" quotePrefix="1" applyFill="1" applyBorder="1" applyAlignment="1">
      <alignment horizontal="left"/>
    </xf>
    <xf numFmtId="0" fontId="0" fillId="7" borderId="0" xfId="0" quotePrefix="1" applyFill="1" applyAlignment="1">
      <alignment horizontal="left"/>
    </xf>
    <xf numFmtId="0" fontId="0" fillId="7" borderId="26" xfId="0" quotePrefix="1" applyFill="1" applyBorder="1" applyAlignment="1">
      <alignment horizontal="left"/>
    </xf>
    <xf numFmtId="0" fontId="6" fillId="7" borderId="45" xfId="3" quotePrefix="1" applyFill="1" applyBorder="1" applyAlignment="1" applyProtection="1">
      <alignment horizontal="left"/>
    </xf>
    <xf numFmtId="0" fontId="0" fillId="7" borderId="22" xfId="0" quotePrefix="1" applyFill="1" applyBorder="1" applyAlignment="1">
      <alignment horizontal="left"/>
    </xf>
    <xf numFmtId="0" fontId="0" fillId="7" borderId="23" xfId="0" quotePrefix="1" applyFill="1" applyBorder="1" applyAlignment="1">
      <alignment horizontal="left"/>
    </xf>
    <xf numFmtId="0" fontId="6" fillId="7" borderId="25" xfId="3" quotePrefix="1" applyFill="1" applyBorder="1" applyAlignment="1" applyProtection="1">
      <alignment horizontal="left" wrapText="1"/>
    </xf>
    <xf numFmtId="0" fontId="6" fillId="7" borderId="49" xfId="3" quotePrefix="1" applyFill="1" applyBorder="1" applyAlignment="1" applyProtection="1">
      <alignment horizontal="left" wrapText="1"/>
    </xf>
    <xf numFmtId="0" fontId="6" fillId="7" borderId="41" xfId="3" quotePrefix="1" applyFill="1" applyBorder="1" applyAlignment="1" applyProtection="1">
      <alignment horizontal="left" wrapText="1"/>
    </xf>
    <xf numFmtId="0" fontId="6" fillId="7" borderId="56" xfId="3" quotePrefix="1" applyFill="1" applyBorder="1" applyAlignment="1" applyProtection="1">
      <alignment horizontal="left" wrapText="1"/>
    </xf>
    <xf numFmtId="0" fontId="0" fillId="7" borderId="52" xfId="0" quotePrefix="1" applyFill="1" applyBorder="1" applyAlignment="1">
      <alignment horizontal="left" wrapText="1"/>
    </xf>
    <xf numFmtId="0" fontId="0" fillId="7" borderId="5" xfId="0" quotePrefix="1" applyFill="1" applyBorder="1" applyAlignment="1">
      <alignment horizontal="left" wrapText="1"/>
    </xf>
    <xf numFmtId="0" fontId="0" fillId="7" borderId="47" xfId="0" quotePrefix="1" applyFill="1" applyBorder="1" applyAlignment="1">
      <alignment horizontal="left" wrapText="1"/>
    </xf>
    <xf numFmtId="0" fontId="6" fillId="7" borderId="41" xfId="3" quotePrefix="1" applyFill="1" applyBorder="1" applyAlignment="1" applyProtection="1">
      <alignment horizontal="left"/>
    </xf>
    <xf numFmtId="0" fontId="6" fillId="7" borderId="56" xfId="3" quotePrefix="1" applyFill="1" applyBorder="1" applyAlignment="1" applyProtection="1">
      <alignment horizontal="left"/>
    </xf>
    <xf numFmtId="2" fontId="2" fillId="0" borderId="25" xfId="0" applyNumberFormat="1" applyFont="1" applyBorder="1" applyAlignment="1">
      <alignment horizontal="left"/>
    </xf>
    <xf numFmtId="2" fontId="2" fillId="0" borderId="0" xfId="0" applyNumberFormat="1" applyFont="1" applyAlignment="1">
      <alignment horizontal="left"/>
    </xf>
    <xf numFmtId="2" fontId="2" fillId="0" borderId="26" xfId="0" applyNumberFormat="1" applyFont="1" applyBorder="1" applyAlignment="1">
      <alignment horizontal="left"/>
    </xf>
    <xf numFmtId="2" fontId="2" fillId="0" borderId="15" xfId="0" applyNumberFormat="1" applyFont="1" applyBorder="1" applyAlignment="1">
      <alignment horizontal="left" vertical="top"/>
    </xf>
    <xf numFmtId="2" fontId="2" fillId="0" borderId="16" xfId="0" applyNumberFormat="1" applyFont="1" applyBorder="1" applyAlignment="1">
      <alignment horizontal="left" vertical="top"/>
    </xf>
    <xf numFmtId="2" fontId="2" fillId="0" borderId="17" xfId="0" applyNumberFormat="1" applyFont="1" applyBorder="1" applyAlignment="1">
      <alignment horizontal="left" vertical="top"/>
    </xf>
    <xf numFmtId="2" fontId="0" fillId="7" borderId="25" xfId="0" quotePrefix="1" applyNumberFormat="1" applyFill="1" applyBorder="1" applyAlignment="1">
      <alignment horizontal="left" wrapText="1"/>
    </xf>
    <xf numFmtId="2" fontId="0" fillId="7" borderId="0" xfId="0" quotePrefix="1" applyNumberFormat="1" applyFill="1" applyAlignment="1">
      <alignment horizontal="left" wrapText="1"/>
    </xf>
    <xf numFmtId="2" fontId="0" fillId="7" borderId="26" xfId="0" quotePrefix="1" applyNumberFormat="1" applyFill="1" applyBorder="1" applyAlignment="1">
      <alignment horizontal="left" wrapText="1"/>
    </xf>
    <xf numFmtId="2" fontId="6" fillId="7" borderId="49" xfId="3" quotePrefix="1" applyNumberFormat="1" applyFill="1" applyBorder="1" applyAlignment="1" applyProtection="1">
      <alignment horizontal="left" wrapText="1"/>
    </xf>
    <xf numFmtId="2" fontId="6" fillId="7" borderId="41" xfId="3" quotePrefix="1" applyNumberFormat="1" applyFill="1" applyBorder="1" applyAlignment="1" applyProtection="1">
      <alignment horizontal="left" wrapText="1"/>
    </xf>
    <xf numFmtId="2" fontId="6" fillId="7" borderId="56" xfId="3" quotePrefix="1" applyNumberFormat="1" applyFill="1" applyBorder="1" applyAlignment="1" applyProtection="1">
      <alignment horizontal="left" wrapText="1"/>
    </xf>
    <xf numFmtId="0" fontId="6" fillId="7" borderId="0" xfId="3" quotePrefix="1" applyFill="1" applyBorder="1" applyAlignment="1" applyProtection="1">
      <alignment horizontal="left" wrapText="1"/>
    </xf>
    <xf numFmtId="0" fontId="6" fillId="7" borderId="26" xfId="3" quotePrefix="1" applyFill="1" applyBorder="1" applyAlignment="1" applyProtection="1">
      <alignment horizontal="left" wrapText="1"/>
    </xf>
    <xf numFmtId="0" fontId="9" fillId="7" borderId="52" xfId="3" quotePrefix="1" applyFont="1" applyFill="1" applyBorder="1" applyAlignment="1" applyProtection="1">
      <alignment horizontal="left"/>
    </xf>
    <xf numFmtId="0" fontId="9" fillId="7" borderId="5" xfId="3" quotePrefix="1" applyFont="1" applyFill="1" applyBorder="1" applyAlignment="1" applyProtection="1">
      <alignment horizontal="left"/>
    </xf>
    <xf numFmtId="0" fontId="9" fillId="7" borderId="47" xfId="3" quotePrefix="1" applyFont="1" applyFill="1" applyBorder="1" applyAlignment="1" applyProtection="1">
      <alignment horizontal="left"/>
    </xf>
    <xf numFmtId="0" fontId="6" fillId="7" borderId="25" xfId="3" quotePrefix="1" applyFill="1" applyBorder="1" applyAlignment="1" applyProtection="1">
      <alignment horizontal="left" vertical="top" wrapText="1"/>
    </xf>
    <xf numFmtId="0" fontId="6" fillId="7" borderId="0" xfId="3" quotePrefix="1" applyFill="1" applyBorder="1" applyAlignment="1" applyProtection="1">
      <alignment horizontal="left" vertical="top" wrapText="1"/>
    </xf>
    <xf numFmtId="0" fontId="6" fillId="7" borderId="26" xfId="3" quotePrefix="1" applyFill="1" applyBorder="1" applyAlignment="1" applyProtection="1">
      <alignment horizontal="left" vertical="top" wrapText="1"/>
    </xf>
    <xf numFmtId="0" fontId="0" fillId="7" borderId="25" xfId="0" quotePrefix="1" applyFill="1" applyBorder="1" applyAlignment="1">
      <alignment horizontal="left" vertical="top" wrapText="1"/>
    </xf>
    <xf numFmtId="0" fontId="0" fillId="7" borderId="0" xfId="0" quotePrefix="1" applyFill="1" applyAlignment="1">
      <alignment horizontal="left" vertical="top" wrapText="1"/>
    </xf>
    <xf numFmtId="0" fontId="0" fillId="7" borderId="26" xfId="0" quotePrefix="1" applyFill="1" applyBorder="1" applyAlignment="1">
      <alignment horizontal="left" vertical="top" wrapText="1"/>
    </xf>
    <xf numFmtId="0" fontId="2" fillId="18" borderId="33" xfId="0" applyFont="1" applyFill="1" applyBorder="1" applyAlignment="1">
      <alignment horizontal="center" vertical="center" wrapText="1"/>
    </xf>
    <xf numFmtId="0" fontId="2" fillId="18" borderId="34" xfId="0" applyFont="1" applyFill="1" applyBorder="1" applyAlignment="1">
      <alignment horizontal="center" vertical="center" wrapText="1"/>
    </xf>
    <xf numFmtId="0" fontId="2" fillId="18" borderId="35" xfId="0" applyFont="1" applyFill="1" applyBorder="1" applyAlignment="1">
      <alignment horizontal="center" vertical="center" wrapText="1"/>
    </xf>
    <xf numFmtId="0" fontId="2" fillId="7" borderId="76" xfId="0" applyFont="1" applyFill="1" applyBorder="1" applyAlignment="1">
      <alignment horizontal="center"/>
    </xf>
    <xf numFmtId="0" fontId="2" fillId="7" borderId="77" xfId="0" applyFont="1" applyFill="1" applyBorder="1" applyAlignment="1">
      <alignment horizontal="center"/>
    </xf>
    <xf numFmtId="0" fontId="2" fillId="7" borderId="78" xfId="0" applyFont="1" applyFill="1" applyBorder="1" applyAlignment="1">
      <alignment horizontal="center"/>
    </xf>
  </cellXfs>
  <cellStyles count="4">
    <cellStyle name="Auto-Calculated-Cells" xfId="2" xr:uid="{4E8529B9-507C-4B39-B503-553D51545A9E}"/>
    <cellStyle name="Lien hypertexte" xfId="3" builtinId="8"/>
    <cellStyle name="Normal" xfId="0" builtinId="0"/>
    <cellStyle name="Pourcentage" xfId="1" builtinId="5"/>
  </cellStyles>
  <dxfs count="387">
    <dxf>
      <fill>
        <patternFill>
          <bgColor theme="2" tint="-0.24994659260841701"/>
        </patternFill>
      </fill>
    </dxf>
    <dxf>
      <fill>
        <patternFill>
          <bgColor theme="2" tint="-0.24994659260841701"/>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ont>
        <b/>
        <i val="0"/>
      </font>
      <fill>
        <patternFill>
          <bgColor rgb="FFFF0000"/>
        </patternFill>
      </fill>
    </dxf>
    <dxf>
      <font>
        <b/>
        <i val="0"/>
      </font>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ont>
        <b/>
        <i val="0"/>
      </font>
      <fill>
        <patternFill>
          <bgColor rgb="FFFF0000"/>
        </patternFill>
      </fill>
    </dxf>
    <dxf>
      <font>
        <b/>
        <i val="0"/>
      </font>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ont>
        <b/>
        <i val="0"/>
      </font>
      <fill>
        <patternFill>
          <bgColor rgb="FFFF0000"/>
        </patternFill>
      </fill>
    </dxf>
    <dxf>
      <font>
        <b/>
        <i val="0"/>
      </font>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ont>
        <b/>
        <i val="0"/>
      </font>
      <fill>
        <patternFill>
          <bgColor rgb="FFFF0000"/>
        </patternFill>
      </fill>
    </dxf>
    <dxf>
      <font>
        <b/>
        <i val="0"/>
      </font>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ont>
        <b/>
        <i val="0"/>
      </font>
      <fill>
        <patternFill>
          <bgColor rgb="FFFF0000"/>
        </patternFill>
      </fill>
    </dxf>
    <dxf>
      <font>
        <b/>
        <i val="0"/>
      </font>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ont>
        <b/>
        <i val="0"/>
      </font>
      <fill>
        <patternFill>
          <bgColor rgb="FFFF0000"/>
        </patternFill>
      </fill>
    </dxf>
    <dxf>
      <font>
        <b/>
        <i val="0"/>
      </font>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ont>
        <b/>
        <i val="0"/>
      </font>
      <fill>
        <patternFill>
          <bgColor rgb="FFFF0000"/>
        </patternFill>
      </fill>
    </dxf>
    <dxf>
      <font>
        <b/>
        <i val="0"/>
      </font>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ont>
        <b/>
        <i val="0"/>
      </font>
      <fill>
        <patternFill>
          <bgColor rgb="FFFF0000"/>
        </patternFill>
      </fill>
    </dxf>
    <dxf>
      <font>
        <b/>
        <i val="0"/>
      </font>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ont>
        <b/>
        <i val="0"/>
      </font>
      <fill>
        <patternFill>
          <bgColor rgb="FFFF0000"/>
        </patternFill>
      </fill>
    </dxf>
    <dxf>
      <font>
        <b/>
        <i val="0"/>
      </font>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ont>
        <b/>
        <i val="0"/>
      </font>
      <fill>
        <patternFill>
          <bgColor rgb="FFFF0000"/>
        </patternFill>
      </fill>
    </dxf>
    <dxf>
      <font>
        <b/>
        <i val="0"/>
      </font>
      <fill>
        <patternFill>
          <bgColor rgb="FFFF0000"/>
        </patternFill>
      </fill>
    </dxf>
    <dxf>
      <fill>
        <patternFill>
          <bgColor theme="2" tint="-0.24994659260841701"/>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theme="0" tint="-0.14996795556505021"/>
        </patternFill>
      </fill>
    </dxf>
    <dxf>
      <fill>
        <patternFill patternType="none">
          <bgColor auto="1"/>
        </patternFill>
      </fill>
    </dxf>
    <dxf>
      <fill>
        <patternFill patternType="none">
          <bgColor auto="1"/>
        </patternFill>
      </fill>
    </dxf>
    <dxf>
      <fill>
        <patternFill>
          <bgColor theme="0" tint="-0.14996795556505021"/>
        </patternFill>
      </fill>
    </dxf>
    <dxf>
      <fill>
        <patternFill patternType="none">
          <bgColor auto="1"/>
        </patternFill>
      </fill>
    </dxf>
    <dxf>
      <fill>
        <patternFill patternType="none">
          <bgColor auto="1"/>
        </patternFill>
      </fill>
    </dxf>
    <dxf>
      <fill>
        <patternFill>
          <bgColor theme="0" tint="-0.149967955565050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FF99"/>
        </patternFill>
      </fill>
    </dxf>
    <dxf>
      <fill>
        <patternFill patternType="solid">
          <bgColor rgb="FFFFFF99"/>
        </patternFill>
      </fill>
    </dxf>
    <dxf>
      <fill>
        <patternFill patternType="solid">
          <bgColor rgb="FFFFFF99"/>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patternType="solid">
          <bgColor rgb="FFFFFF99"/>
        </patternFill>
      </fill>
    </dxf>
    <dxf>
      <fill>
        <patternFill patternType="none">
          <bgColor auto="1"/>
        </patternFill>
      </fill>
    </dxf>
    <dxf>
      <fill>
        <patternFill patternType="none">
          <bgColor auto="1"/>
        </patternFill>
      </fill>
    </dxf>
    <dxf>
      <fill>
        <patternFill patternType="none">
          <bgColor auto="1"/>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fill>
        <patternFill>
          <bgColor rgb="FFFF0000"/>
        </patternFill>
      </fill>
    </dxf>
    <dxf>
      <fill>
        <patternFill>
          <bgColor rgb="FF00B050"/>
        </patternFill>
      </fill>
    </dxf>
    <dxf>
      <fill>
        <patternFill>
          <bgColor rgb="FFFF0000"/>
        </patternFill>
      </fill>
    </dxf>
    <dxf>
      <numFmt numFmtId="164" formatCode=";;;"/>
      <fill>
        <patternFill>
          <bgColor theme="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theme="0" tint="-0.14996795556505021"/>
        </patternFill>
      </fill>
    </dxf>
    <dxf>
      <fill>
        <patternFill patternType="none">
          <bgColor auto="1"/>
        </patternFill>
      </fill>
    </dxf>
    <dxf>
      <numFmt numFmtId="0" formatCode="General"/>
      <fill>
        <patternFill>
          <bgColor theme="0" tint="-0.14996795556505021"/>
        </patternFill>
      </fill>
    </dxf>
    <dxf>
      <fill>
        <patternFill>
          <bgColor theme="8" tint="0.79998168889431442"/>
        </patternFill>
      </fill>
    </dxf>
    <dxf>
      <fill>
        <patternFill>
          <bgColor theme="0" tint="-0.14996795556505021"/>
        </patternFill>
      </fill>
    </dxf>
    <dxf>
      <fill>
        <patternFill patternType="none">
          <bgColor auto="1"/>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numFmt numFmtId="0" formatCode="General"/>
      <fill>
        <patternFill>
          <bgColor theme="2" tint="-9.9948118533890809E-2"/>
        </patternFill>
      </fill>
    </dxf>
    <dxf>
      <fill>
        <patternFill patternType="none">
          <bgColor auto="1"/>
        </patternFill>
      </fill>
    </dxf>
    <dxf>
      <fill>
        <patternFill>
          <bgColor theme="0" tint="-0.14996795556505021"/>
        </patternFill>
      </fill>
    </dxf>
    <dxf>
      <numFmt numFmtId="0" formatCode="General"/>
      <fill>
        <patternFill>
          <bgColor theme="0" tint="-0.14996795556505021"/>
        </patternFill>
      </fill>
    </dxf>
    <dxf>
      <fill>
        <patternFill>
          <bgColor rgb="FFFFFF99"/>
        </patternFill>
      </fill>
    </dxf>
    <dxf>
      <fill>
        <patternFill patternType="none">
          <bgColor auto="1"/>
        </patternFill>
      </fill>
    </dxf>
    <dxf>
      <numFmt numFmtId="0" formatCode="General"/>
      <fill>
        <patternFill>
          <bgColor theme="2" tint="-9.9948118533890809E-2"/>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bgColor rgb="FFFF0000"/>
        </patternFill>
      </fill>
    </dxf>
    <dxf>
      <fill>
        <patternFill>
          <bgColor rgb="FF00B050"/>
        </patternFill>
      </fill>
    </dxf>
    <dxf>
      <fill>
        <patternFill>
          <bgColor rgb="FFFF0000"/>
        </patternFill>
      </fill>
    </dxf>
    <dxf>
      <fill>
        <patternFill patternType="none">
          <bgColor auto="1"/>
        </patternFill>
      </fill>
    </dxf>
    <dxf>
      <fill>
        <patternFill patternType="none">
          <bgColor auto="1"/>
        </patternFill>
      </fill>
    </dxf>
    <dxf>
      <fill>
        <patternFill>
          <bgColor rgb="FF00B050"/>
        </patternFill>
      </fill>
    </dxf>
    <dxf>
      <fill>
        <patternFill>
          <bgColor rgb="FFFF0000"/>
        </patternFill>
      </fill>
    </dxf>
    <dxf>
      <fill>
        <patternFill>
          <bgColor rgb="FF00B050"/>
        </patternFill>
      </fill>
    </dxf>
    <dxf>
      <fill>
        <patternFill>
          <bgColor rgb="FFFF0000"/>
        </patternFill>
      </fill>
    </dxf>
    <dxf>
      <numFmt numFmtId="0" formatCode="General"/>
      <fill>
        <patternFill>
          <bgColor theme="0" tint="-0.14996795556505021"/>
        </patternFill>
      </fill>
    </dxf>
    <dxf>
      <numFmt numFmtId="0" formatCode="General"/>
      <fill>
        <patternFill>
          <bgColor theme="0" tint="-0.1499679555650502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ont>
        <b/>
        <i val="0"/>
      </font>
      <fill>
        <patternFill>
          <bgColor rgb="FFFF0000"/>
        </patternFill>
      </fill>
    </dxf>
    <dxf>
      <font>
        <b/>
        <i val="0"/>
      </font>
      <fill>
        <patternFill>
          <bgColor rgb="FFFF0000"/>
        </patternFill>
      </fill>
    </dxf>
    <dxf>
      <fill>
        <patternFill patternType="none">
          <bgColor auto="1"/>
        </patternFill>
      </fill>
    </dxf>
    <dxf>
      <fill>
        <patternFill>
          <bgColor theme="0" tint="-0.14996795556505021"/>
        </patternFill>
      </fill>
    </dxf>
    <dxf>
      <numFmt numFmtId="0" formatCode="General"/>
      <fill>
        <patternFill>
          <bgColor theme="0" tint="-0.14996795556505021"/>
        </patternFill>
      </fill>
    </dxf>
    <dxf>
      <fill>
        <patternFill>
          <bgColor rgb="FFFFFF99"/>
        </patternFill>
      </fill>
    </dxf>
    <dxf>
      <fill>
        <patternFill patternType="none">
          <bgColor auto="1"/>
        </patternFill>
      </fill>
    </dxf>
    <dxf>
      <fill>
        <patternFill patternType="none">
          <bgColor auto="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numFmt numFmtId="0" formatCode="General"/>
      <fill>
        <patternFill>
          <bgColor theme="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patternType="none">
          <bgColor auto="1"/>
        </patternFill>
      </fill>
    </dxf>
    <dxf>
      <fill>
        <patternFill patternType="none">
          <bgColor auto="1"/>
        </patternFill>
      </fill>
    </dxf>
    <dxf>
      <fill>
        <patternFill patternType="none">
          <bgColor auto="1"/>
        </patternFill>
      </fill>
    </dxf>
    <dxf>
      <fill>
        <patternFill>
          <bgColor rgb="FF00B050"/>
        </patternFill>
      </fill>
    </dxf>
    <dxf>
      <fill>
        <patternFill patternType="none">
          <bgColor auto="1"/>
        </patternFill>
      </fill>
    </dxf>
    <dxf>
      <fill>
        <patternFill>
          <bgColor theme="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patternType="none">
          <bgColor auto="1"/>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s>
  <tableStyles count="0" defaultTableStyle="TableStyleMedium2" defaultPivotStyle="PivotStyleLight16"/>
  <colors>
    <mruColors>
      <color rgb="FFFFFF99"/>
      <color rgb="FFB5E6A2"/>
      <color rgb="FFE97132"/>
      <color rgb="FFFF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sheetMetadata" Target="metadata.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2.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hyperlink" Target="#Licence!A1"/><Relationship Id="rId4" Type="http://schemas.openxmlformats.org/officeDocument/2006/relationships/hyperlink" Target="https://www.efrag.org/sites/default/files/sites/webpublishing/SiteAssets/VSME%20Standard.pdf"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Environmental Disclosures'!A1"/><Relationship Id="rId7" Type="http://schemas.openxmlformats.org/officeDocument/2006/relationships/hyperlink" Target="#'Table of Contents &amp; Validation'!A1"/><Relationship Id="rId2" Type="http://schemas.openxmlformats.org/officeDocument/2006/relationships/hyperlink" Target="https://osmfoundation.org/wiki/Privacy_Policy#Personal_data_we_receive_automatically" TargetMode="External"/><Relationship Id="rId1" Type="http://schemas.openxmlformats.org/officeDocument/2006/relationships/hyperlink" Target="https://operations.osmfoundation.org/policies/nominatim/" TargetMode="External"/><Relationship Id="rId6" Type="http://schemas.openxmlformats.org/officeDocument/2006/relationships/hyperlink" Target="#'Introduction &amp; Validation'!A1"/><Relationship Id="rId5" Type="http://schemas.openxmlformats.org/officeDocument/2006/relationships/hyperlink" Target="#'Governance Disclosures'!A1"/><Relationship Id="rId4" Type="http://schemas.openxmlformats.org/officeDocument/2006/relationships/hyperlink" Target="#'Social Disclosures'!A1"/></Relationships>
</file>

<file path=xl/drawings/_rels/drawing3.xml.rels><?xml version="1.0" encoding="UTF-8" standalone="yes"?>
<Relationships xmlns="http://schemas.openxmlformats.org/package/2006/relationships"><Relationship Id="rId3" Type="http://schemas.openxmlformats.org/officeDocument/2006/relationships/hyperlink" Target="#'Introduction &amp; Validation'!A1"/><Relationship Id="rId2" Type="http://schemas.openxmlformats.org/officeDocument/2006/relationships/hyperlink" Target="#'Governance Disclosures'!A1"/><Relationship Id="rId1" Type="http://schemas.openxmlformats.org/officeDocument/2006/relationships/hyperlink" Target="#'Social Disclosures'!A1"/><Relationship Id="rId5" Type="http://schemas.openxmlformats.org/officeDocument/2006/relationships/hyperlink" Target="#'General Information'!A1"/><Relationship Id="rId4" Type="http://schemas.openxmlformats.org/officeDocument/2006/relationships/hyperlink" Target="#'Table of Contents &amp; Validation'!A1"/></Relationships>
</file>

<file path=xl/drawings/_rels/drawing4.xml.rels><?xml version="1.0" encoding="UTF-8" standalone="yes"?>
<Relationships xmlns="http://schemas.openxmlformats.org/package/2006/relationships"><Relationship Id="rId3" Type="http://schemas.openxmlformats.org/officeDocument/2006/relationships/hyperlink" Target="#'General Information'!A1"/><Relationship Id="rId2" Type="http://schemas.openxmlformats.org/officeDocument/2006/relationships/hyperlink" Target="#'Table of Contents &amp; Validation'!A1"/><Relationship Id="rId1" Type="http://schemas.openxmlformats.org/officeDocument/2006/relationships/hyperlink" Target="#'Introduction &amp; Validation'!A1"/><Relationship Id="rId5" Type="http://schemas.openxmlformats.org/officeDocument/2006/relationships/hyperlink" Target="#'Social Disclosures'!A1"/><Relationship Id="rId4" Type="http://schemas.openxmlformats.org/officeDocument/2006/relationships/hyperlink" Target="#'Environmental Disclosures'!A1"/></Relationships>
</file>

<file path=xl/drawings/_rels/drawing5.xml.rels><?xml version="1.0" encoding="UTF-8" standalone="yes"?>
<Relationships xmlns="http://schemas.openxmlformats.org/package/2006/relationships"><Relationship Id="rId3" Type="http://schemas.openxmlformats.org/officeDocument/2006/relationships/hyperlink" Target="#'Table of Contents &amp; Validation'!A1"/><Relationship Id="rId2" Type="http://schemas.openxmlformats.org/officeDocument/2006/relationships/hyperlink" Target="#'Introduction &amp; Validation'!A1"/><Relationship Id="rId1" Type="http://schemas.openxmlformats.org/officeDocument/2006/relationships/hyperlink" Target="#'Governance Disclosures'!A1"/><Relationship Id="rId5" Type="http://schemas.openxmlformats.org/officeDocument/2006/relationships/hyperlink" Target="#'Environmental Disclosures'!A1"/><Relationship Id="rId4" Type="http://schemas.openxmlformats.org/officeDocument/2006/relationships/hyperlink" Target="#'General Information'!A1"/></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101601</xdr:rowOff>
    </xdr:from>
    <xdr:to>
      <xdr:col>2</xdr:col>
      <xdr:colOff>896135</xdr:colOff>
      <xdr:row>7</xdr:row>
      <xdr:rowOff>117475</xdr:rowOff>
    </xdr:to>
    <xdr:pic>
      <xdr:nvPicPr>
        <xdr:cNvPr id="3" name="Picture 1">
          <a:extLst>
            <a:ext uri="{FF2B5EF4-FFF2-40B4-BE49-F238E27FC236}">
              <a16:creationId xmlns:a16="http://schemas.microsoft.com/office/drawing/2014/main" id="{EE744A18-9278-F28C-CE93-223066AEF5D9}"/>
            </a:ext>
          </a:extLst>
        </xdr:cNvPr>
        <xdr:cNvPicPr>
          <a:picLocks noChangeAspect="1"/>
        </xdr:cNvPicPr>
      </xdr:nvPicPr>
      <xdr:blipFill>
        <a:blip xmlns:r="http://schemas.openxmlformats.org/officeDocument/2006/relationships" r:embed="rId1"/>
        <a:stretch>
          <a:fillRect/>
        </a:stretch>
      </xdr:blipFill>
      <xdr:spPr>
        <a:xfrm>
          <a:off x="406400" y="457201"/>
          <a:ext cx="4716295" cy="904874"/>
        </a:xfrm>
        <a:prstGeom prst="rect">
          <a:avLst/>
        </a:prstGeom>
      </xdr:spPr>
    </xdr:pic>
    <xdr:clientData/>
  </xdr:twoCellAnchor>
  <xdr:twoCellAnchor editAs="oneCell">
    <xdr:from>
      <xdr:col>1</xdr:col>
      <xdr:colOff>6551</xdr:colOff>
      <xdr:row>36</xdr:row>
      <xdr:rowOff>158162</xdr:rowOff>
    </xdr:from>
    <xdr:to>
      <xdr:col>1</xdr:col>
      <xdr:colOff>627581</xdr:colOff>
      <xdr:row>38</xdr:row>
      <xdr:rowOff>189813</xdr:rowOff>
    </xdr:to>
    <xdr:pic>
      <xdr:nvPicPr>
        <xdr:cNvPr id="13" name="Picture 1" descr="A flag with stars in the center&#10;&#10;Description automatically generated">
          <a:extLst>
            <a:ext uri="{FF2B5EF4-FFF2-40B4-BE49-F238E27FC236}">
              <a16:creationId xmlns:a16="http://schemas.microsoft.com/office/drawing/2014/main" id="{B2281DFB-0536-4402-89EF-0BEDD49B199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28372" y="19575555"/>
          <a:ext cx="628650" cy="391696"/>
        </a:xfrm>
        <a:prstGeom prst="rect">
          <a:avLst/>
        </a:prstGeom>
      </xdr:spPr>
    </xdr:pic>
    <xdr:clientData/>
  </xdr:twoCellAnchor>
  <xdr:twoCellAnchor editAs="oneCell">
    <xdr:from>
      <xdr:col>1</xdr:col>
      <xdr:colOff>1809750</xdr:colOff>
      <xdr:row>32</xdr:row>
      <xdr:rowOff>47625</xdr:rowOff>
    </xdr:from>
    <xdr:to>
      <xdr:col>1</xdr:col>
      <xdr:colOff>2421976</xdr:colOff>
      <xdr:row>32</xdr:row>
      <xdr:rowOff>515049</xdr:rowOff>
    </xdr:to>
    <xdr:pic>
      <xdr:nvPicPr>
        <xdr:cNvPr id="7" name="Picture 1">
          <a:extLst>
            <a:ext uri="{FF2B5EF4-FFF2-40B4-BE49-F238E27FC236}">
              <a16:creationId xmlns:a16="http://schemas.microsoft.com/office/drawing/2014/main" id="{FAC21AA4-78C9-7CCC-3AF3-0C14CAFC6FC9}"/>
            </a:ext>
          </a:extLst>
        </xdr:cNvPr>
        <xdr:cNvPicPr>
          <a:picLocks noChangeAspect="1"/>
        </xdr:cNvPicPr>
      </xdr:nvPicPr>
      <xdr:blipFill>
        <a:blip xmlns:r="http://schemas.openxmlformats.org/officeDocument/2006/relationships" r:embed="rId3"/>
        <a:stretch>
          <a:fillRect/>
        </a:stretch>
      </xdr:blipFill>
      <xdr:spPr>
        <a:xfrm>
          <a:off x="2206625" y="11223625"/>
          <a:ext cx="619211" cy="457264"/>
        </a:xfrm>
        <a:prstGeom prst="rect">
          <a:avLst/>
        </a:prstGeom>
      </xdr:spPr>
    </xdr:pic>
    <xdr:clientData/>
  </xdr:twoCellAnchor>
  <xdr:twoCellAnchor>
    <xdr:from>
      <xdr:col>4</xdr:col>
      <xdr:colOff>1619250</xdr:colOff>
      <xdr:row>10</xdr:row>
      <xdr:rowOff>111125</xdr:rowOff>
    </xdr:from>
    <xdr:to>
      <xdr:col>5</xdr:col>
      <xdr:colOff>952500</xdr:colOff>
      <xdr:row>10</xdr:row>
      <xdr:rowOff>396875</xdr:rowOff>
    </xdr:to>
    <xdr:sp macro="" textlink="">
      <xdr:nvSpPr>
        <xdr:cNvPr id="4" name="Rectangle 3">
          <a:hlinkClick xmlns:r="http://schemas.openxmlformats.org/officeDocument/2006/relationships" r:id="rId4"/>
          <a:extLst>
            <a:ext uri="{FF2B5EF4-FFF2-40B4-BE49-F238E27FC236}">
              <a16:creationId xmlns:a16="http://schemas.microsoft.com/office/drawing/2014/main" id="{D363C8B0-1A23-844C-E436-469E998EC547}"/>
            </a:ext>
          </a:extLst>
        </xdr:cNvPr>
        <xdr:cNvSpPr/>
      </xdr:nvSpPr>
      <xdr:spPr>
        <a:xfrm>
          <a:off x="14462125" y="2476500"/>
          <a:ext cx="1635125" cy="285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5</xdr:col>
      <xdr:colOff>2841625</xdr:colOff>
      <xdr:row>10</xdr:row>
      <xdr:rowOff>3984625</xdr:rowOff>
    </xdr:from>
    <xdr:to>
      <xdr:col>6</xdr:col>
      <xdr:colOff>1238250</xdr:colOff>
      <xdr:row>10</xdr:row>
      <xdr:rowOff>4270375</xdr:rowOff>
    </xdr:to>
    <xdr:sp macro="" textlink="">
      <xdr:nvSpPr>
        <xdr:cNvPr id="5" name="Rectangle 4">
          <a:hlinkClick xmlns:r="http://schemas.openxmlformats.org/officeDocument/2006/relationships" r:id="rId5"/>
          <a:extLst>
            <a:ext uri="{FF2B5EF4-FFF2-40B4-BE49-F238E27FC236}">
              <a16:creationId xmlns:a16="http://schemas.microsoft.com/office/drawing/2014/main" id="{5A054C28-8550-3AA9-5D05-8D1B733171A0}"/>
            </a:ext>
          </a:extLst>
        </xdr:cNvPr>
        <xdr:cNvSpPr/>
      </xdr:nvSpPr>
      <xdr:spPr>
        <a:xfrm>
          <a:off x="17986375" y="6350000"/>
          <a:ext cx="1301750" cy="285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3</xdr:col>
      <xdr:colOff>3951514</xdr:colOff>
      <xdr:row>10</xdr:row>
      <xdr:rowOff>87086</xdr:rowOff>
    </xdr:from>
    <xdr:to>
      <xdr:col>4</xdr:col>
      <xdr:colOff>489857</xdr:colOff>
      <xdr:row>10</xdr:row>
      <xdr:rowOff>293914</xdr:rowOff>
    </xdr:to>
    <xdr:sp macro="" textlink="">
      <xdr:nvSpPr>
        <xdr:cNvPr id="2" name="Rectangle 1">
          <a:hlinkClick xmlns:r="http://schemas.openxmlformats.org/officeDocument/2006/relationships" r:id="rId4"/>
          <a:extLst>
            <a:ext uri="{FF2B5EF4-FFF2-40B4-BE49-F238E27FC236}">
              <a16:creationId xmlns:a16="http://schemas.microsoft.com/office/drawing/2014/main" id="{16B5C088-64AA-B68A-75C3-AC7A29FD2933}"/>
            </a:ext>
          </a:extLst>
        </xdr:cNvPr>
        <xdr:cNvSpPr/>
      </xdr:nvSpPr>
      <xdr:spPr>
        <a:xfrm>
          <a:off x="12061371" y="2558143"/>
          <a:ext cx="1295400" cy="206828"/>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1</xdr:col>
      <xdr:colOff>3167743</xdr:colOff>
      <xdr:row>10</xdr:row>
      <xdr:rowOff>3853543</xdr:rowOff>
    </xdr:from>
    <xdr:to>
      <xdr:col>2</xdr:col>
      <xdr:colOff>359229</xdr:colOff>
      <xdr:row>11</xdr:row>
      <xdr:rowOff>0</xdr:rowOff>
    </xdr:to>
    <xdr:sp macro="" textlink="">
      <xdr:nvSpPr>
        <xdr:cNvPr id="8" name="Rectangle 7">
          <a:hlinkClick xmlns:r="http://schemas.openxmlformats.org/officeDocument/2006/relationships" r:id="rId5"/>
          <a:extLst>
            <a:ext uri="{FF2B5EF4-FFF2-40B4-BE49-F238E27FC236}">
              <a16:creationId xmlns:a16="http://schemas.microsoft.com/office/drawing/2014/main" id="{5DA8BDE8-DFBE-01BD-5268-5269918EC771}"/>
            </a:ext>
          </a:extLst>
        </xdr:cNvPr>
        <xdr:cNvSpPr/>
      </xdr:nvSpPr>
      <xdr:spPr>
        <a:xfrm>
          <a:off x="3581400" y="6324600"/>
          <a:ext cx="1034143" cy="272143"/>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19050</xdr:colOff>
      <xdr:row>105</xdr:row>
      <xdr:rowOff>1025237</xdr:rowOff>
    </xdr:from>
    <xdr:to>
      <xdr:col>7</xdr:col>
      <xdr:colOff>2628900</xdr:colOff>
      <xdr:row>105</xdr:row>
      <xdr:rowOff>1215737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3AA8989A-7C57-462C-8649-46BDC612C39A}"/>
            </a:ext>
          </a:extLst>
        </xdr:cNvPr>
        <xdr:cNvSpPr/>
      </xdr:nvSpPr>
      <xdr:spPr>
        <a:xfrm>
          <a:off x="11336482" y="15806305"/>
          <a:ext cx="260985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50742</xdr:colOff>
      <xdr:row>105</xdr:row>
      <xdr:rowOff>1393075</xdr:rowOff>
    </xdr:from>
    <xdr:to>
      <xdr:col>7</xdr:col>
      <xdr:colOff>857250</xdr:colOff>
      <xdr:row>105</xdr:row>
      <xdr:rowOff>1567296</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381497CC-CEB7-47E2-AF4C-81EAAA116533}"/>
            </a:ext>
          </a:extLst>
        </xdr:cNvPr>
        <xdr:cNvSpPr/>
      </xdr:nvSpPr>
      <xdr:spPr>
        <a:xfrm>
          <a:off x="11368174" y="16174143"/>
          <a:ext cx="806508" cy="17422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3460750</xdr:colOff>
      <xdr:row>165</xdr:row>
      <xdr:rowOff>12699</xdr:rowOff>
    </xdr:from>
    <xdr:to>
      <xdr:col>7</xdr:col>
      <xdr:colOff>6200323</xdr:colOff>
      <xdr:row>172</xdr:row>
      <xdr:rowOff>139245</xdr:rowOff>
    </xdr:to>
    <xdr:sp macro="" textlink="">
      <xdr:nvSpPr>
        <xdr:cNvPr id="4" name="Arrow: Right 3">
          <a:hlinkClick xmlns:r="http://schemas.openxmlformats.org/officeDocument/2006/relationships" r:id="rId3"/>
          <a:extLst>
            <a:ext uri="{FF2B5EF4-FFF2-40B4-BE49-F238E27FC236}">
              <a16:creationId xmlns:a16="http://schemas.microsoft.com/office/drawing/2014/main" id="{391A546A-0CCE-7CB4-8907-583657050E25}"/>
            </a:ext>
          </a:extLst>
        </xdr:cNvPr>
        <xdr:cNvSpPr/>
      </xdr:nvSpPr>
      <xdr:spPr>
        <a:xfrm>
          <a:off x="17100550" y="62534799"/>
          <a:ext cx="2739573" cy="1393371"/>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tx1"/>
              </a:solidFill>
            </a:rPr>
            <a:t>Aller vers Informations environnementales</a:t>
          </a:r>
          <a:endParaRPr lang="en-BE" sz="1800" b="1">
            <a:solidFill>
              <a:schemeClr val="tx1"/>
            </a:solidFill>
          </a:endParaRPr>
        </a:p>
      </xdr:txBody>
    </xdr:sp>
    <xdr:clientData/>
  </xdr:twoCellAnchor>
  <xdr:twoCellAnchor>
    <xdr:from>
      <xdr:col>7</xdr:col>
      <xdr:colOff>3452585</xdr:colOff>
      <xdr:row>174</xdr:row>
      <xdr:rowOff>35831</xdr:rowOff>
    </xdr:from>
    <xdr:to>
      <xdr:col>7</xdr:col>
      <xdr:colOff>6192158</xdr:colOff>
      <xdr:row>181</xdr:row>
      <xdr:rowOff>162378</xdr:rowOff>
    </xdr:to>
    <xdr:sp macro="" textlink="">
      <xdr:nvSpPr>
        <xdr:cNvPr id="5" name="Arrow: Right 4">
          <a:hlinkClick xmlns:r="http://schemas.openxmlformats.org/officeDocument/2006/relationships" r:id="rId4"/>
          <a:extLst>
            <a:ext uri="{FF2B5EF4-FFF2-40B4-BE49-F238E27FC236}">
              <a16:creationId xmlns:a16="http://schemas.microsoft.com/office/drawing/2014/main" id="{034DCD15-5CD6-4EE4-BE72-3F1FBACC1057}"/>
            </a:ext>
          </a:extLst>
        </xdr:cNvPr>
        <xdr:cNvSpPr/>
      </xdr:nvSpPr>
      <xdr:spPr>
        <a:xfrm>
          <a:off x="17092385" y="64186706"/>
          <a:ext cx="2739573" cy="1393372"/>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800" b="1">
              <a:solidFill>
                <a:schemeClr val="tx1"/>
              </a:solidFill>
              <a:effectLst/>
              <a:latin typeface="+mn-lt"/>
              <a:ea typeface="+mn-ea"/>
              <a:cs typeface="+mn-cs"/>
            </a:rPr>
            <a:t>Aller vers</a:t>
          </a:r>
        </a:p>
        <a:p>
          <a:pPr marL="0" marR="0" lvl="0" indent="0" algn="ctr" defTabSz="914400" eaLnBrk="1" fontAlgn="auto" latinLnBrk="0" hangingPunct="1">
            <a:lnSpc>
              <a:spcPct val="100000"/>
            </a:lnSpc>
            <a:spcBef>
              <a:spcPts val="0"/>
            </a:spcBef>
            <a:spcAft>
              <a:spcPts val="0"/>
            </a:spcAft>
            <a:buClrTx/>
            <a:buSzTx/>
            <a:buFontTx/>
            <a:buNone/>
            <a:tabLst/>
            <a:defRPr/>
          </a:pPr>
          <a:r>
            <a:rPr lang="fr-FR" sz="1800" b="1">
              <a:solidFill>
                <a:schemeClr val="tx1"/>
              </a:solidFill>
              <a:effectLst/>
              <a:latin typeface="+mn-lt"/>
              <a:ea typeface="+mn-ea"/>
              <a:cs typeface="+mn-cs"/>
            </a:rPr>
            <a:t> Informations sociales</a:t>
          </a:r>
          <a:endParaRPr lang="en-BE" sz="1800" b="1">
            <a:solidFill>
              <a:schemeClr val="tx1"/>
            </a:solidFill>
            <a:effectLst/>
          </a:endParaRPr>
        </a:p>
        <a:p>
          <a:pPr algn="ctr"/>
          <a:endParaRPr lang="en-BE" sz="1800" b="1">
            <a:solidFill>
              <a:schemeClr val="tx1"/>
            </a:solidFill>
          </a:endParaRPr>
        </a:p>
      </xdr:txBody>
    </xdr:sp>
    <xdr:clientData/>
  </xdr:twoCellAnchor>
  <xdr:twoCellAnchor>
    <xdr:from>
      <xdr:col>7</xdr:col>
      <xdr:colOff>3474357</xdr:colOff>
      <xdr:row>182</xdr:row>
      <xdr:rowOff>178707</xdr:rowOff>
    </xdr:from>
    <xdr:to>
      <xdr:col>7</xdr:col>
      <xdr:colOff>6213930</xdr:colOff>
      <xdr:row>190</xdr:row>
      <xdr:rowOff>128361</xdr:rowOff>
    </xdr:to>
    <xdr:sp macro="" textlink="">
      <xdr:nvSpPr>
        <xdr:cNvPr id="6" name="Arrow: Right 5">
          <a:hlinkClick xmlns:r="http://schemas.openxmlformats.org/officeDocument/2006/relationships" r:id="rId5"/>
          <a:extLst>
            <a:ext uri="{FF2B5EF4-FFF2-40B4-BE49-F238E27FC236}">
              <a16:creationId xmlns:a16="http://schemas.microsoft.com/office/drawing/2014/main" id="{2305ED6B-777E-4789-82E7-887232BD41A1}"/>
            </a:ext>
          </a:extLst>
        </xdr:cNvPr>
        <xdr:cNvSpPr/>
      </xdr:nvSpPr>
      <xdr:spPr>
        <a:xfrm>
          <a:off x="17114157" y="65777382"/>
          <a:ext cx="2739573" cy="1397454"/>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800" b="1">
              <a:solidFill>
                <a:schemeClr val="tx1"/>
              </a:solidFill>
              <a:effectLst/>
              <a:latin typeface="+mn-lt"/>
              <a:ea typeface="+mn-ea"/>
              <a:cs typeface="+mn-cs"/>
            </a:rPr>
            <a:t>Aller vers Informations de gouvernance</a:t>
          </a:r>
          <a:endParaRPr lang="en-BE" sz="1800" b="1">
            <a:solidFill>
              <a:schemeClr val="tx1"/>
            </a:solidFill>
            <a:effectLst/>
          </a:endParaRPr>
        </a:p>
      </xdr:txBody>
    </xdr:sp>
    <xdr:clientData/>
  </xdr:twoCellAnchor>
  <xdr:twoCellAnchor>
    <xdr:from>
      <xdr:col>3</xdr:col>
      <xdr:colOff>2032001</xdr:colOff>
      <xdr:row>166</xdr:row>
      <xdr:rowOff>154214</xdr:rowOff>
    </xdr:from>
    <xdr:to>
      <xdr:col>4</xdr:col>
      <xdr:colOff>1841500</xdr:colOff>
      <xdr:row>170</xdr:row>
      <xdr:rowOff>110672</xdr:rowOff>
    </xdr:to>
    <xdr:sp macro="" textlink="">
      <xdr:nvSpPr>
        <xdr:cNvPr id="7" name="Rectangle 6">
          <a:hlinkClick xmlns:r="http://schemas.openxmlformats.org/officeDocument/2006/relationships" r:id="rId6"/>
          <a:extLst>
            <a:ext uri="{FF2B5EF4-FFF2-40B4-BE49-F238E27FC236}">
              <a16:creationId xmlns:a16="http://schemas.microsoft.com/office/drawing/2014/main" id="{3834BDA7-E7E1-2618-0D54-1DCE21F3D5EA}"/>
            </a:ext>
          </a:extLst>
        </xdr:cNvPr>
        <xdr:cNvSpPr/>
      </xdr:nvSpPr>
      <xdr:spPr>
        <a:xfrm>
          <a:off x="7340601" y="62790614"/>
          <a:ext cx="2755899" cy="667658"/>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800" b="1">
              <a:solidFill>
                <a:schemeClr val="tx1"/>
              </a:solidFill>
            </a:rPr>
            <a:t>Aller vers</a:t>
          </a:r>
          <a:r>
            <a:rPr lang="en-BE" sz="1800" b="1">
              <a:solidFill>
                <a:schemeClr val="tx1"/>
              </a:solidFill>
            </a:rPr>
            <a:t> Int</a:t>
          </a:r>
          <a:r>
            <a:rPr lang="fr-FR" sz="1800" b="1">
              <a:solidFill>
                <a:schemeClr val="tx1"/>
              </a:solidFill>
            </a:rPr>
            <a:t>r</a:t>
          </a:r>
          <a:r>
            <a:rPr lang="en-BE" sz="1800" b="1">
              <a:solidFill>
                <a:schemeClr val="tx1"/>
              </a:solidFill>
            </a:rPr>
            <a:t>oduction &amp; Validation</a:t>
          </a:r>
        </a:p>
      </xdr:txBody>
    </xdr:sp>
    <xdr:clientData/>
  </xdr:twoCellAnchor>
  <xdr:twoCellAnchor>
    <xdr:from>
      <xdr:col>3</xdr:col>
      <xdr:colOff>2053772</xdr:colOff>
      <xdr:row>175</xdr:row>
      <xdr:rowOff>121557</xdr:rowOff>
    </xdr:from>
    <xdr:to>
      <xdr:col>4</xdr:col>
      <xdr:colOff>1863271</xdr:colOff>
      <xdr:row>179</xdr:row>
      <xdr:rowOff>78014</xdr:rowOff>
    </xdr:to>
    <xdr:sp macro="" textlink="">
      <xdr:nvSpPr>
        <xdr:cNvPr id="8" name="Rectangle 7">
          <a:hlinkClick xmlns:r="http://schemas.openxmlformats.org/officeDocument/2006/relationships" r:id="rId7"/>
          <a:extLst>
            <a:ext uri="{FF2B5EF4-FFF2-40B4-BE49-F238E27FC236}">
              <a16:creationId xmlns:a16="http://schemas.microsoft.com/office/drawing/2014/main" id="{8F5A7024-A53D-40B1-8355-2C3729A09FA5}"/>
            </a:ext>
          </a:extLst>
        </xdr:cNvPr>
        <xdr:cNvSpPr/>
      </xdr:nvSpPr>
      <xdr:spPr>
        <a:xfrm>
          <a:off x="7362372" y="64358157"/>
          <a:ext cx="2755899" cy="667657"/>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800" b="1">
              <a:solidFill>
                <a:schemeClr val="tx1"/>
              </a:solidFill>
            </a:rPr>
            <a:t>Aller vers Table des matières</a:t>
          </a:r>
          <a:r>
            <a:rPr lang="en-BE" sz="1800" b="1">
              <a:solidFill>
                <a:schemeClr val="tx1"/>
              </a:solidFill>
            </a:rPr>
            <a:t> &amp;</a:t>
          </a:r>
          <a:r>
            <a:rPr lang="en-BE" sz="1800" b="1" baseline="0">
              <a:solidFill>
                <a:schemeClr val="tx1"/>
              </a:solidFill>
            </a:rPr>
            <a:t> Validation</a:t>
          </a:r>
        </a:p>
        <a:p>
          <a:pPr algn="l"/>
          <a:endParaRPr lang="en-BE" sz="1800" b="1">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338818</xdr:colOff>
      <xdr:row>245</xdr:row>
      <xdr:rowOff>149679</xdr:rowOff>
    </xdr:from>
    <xdr:to>
      <xdr:col>11</xdr:col>
      <xdr:colOff>1802947</xdr:colOff>
      <xdr:row>253</xdr:row>
      <xdr:rowOff>127908</xdr:rowOff>
    </xdr:to>
    <xdr:sp macro="" textlink="">
      <xdr:nvSpPr>
        <xdr:cNvPr id="3" name="Arrow: Right 2">
          <a:hlinkClick xmlns:r="http://schemas.openxmlformats.org/officeDocument/2006/relationships" r:id="rId1"/>
          <a:extLst>
            <a:ext uri="{FF2B5EF4-FFF2-40B4-BE49-F238E27FC236}">
              <a16:creationId xmlns:a16="http://schemas.microsoft.com/office/drawing/2014/main" id="{3F3D2D47-AF98-4169-A524-BAB1DEACE9CB}"/>
            </a:ext>
          </a:extLst>
        </xdr:cNvPr>
        <xdr:cNvSpPr/>
      </xdr:nvSpPr>
      <xdr:spPr>
        <a:xfrm>
          <a:off x="15807418" y="60685136"/>
          <a:ext cx="2737758" cy="1458686"/>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800" b="1">
              <a:solidFill>
                <a:schemeClr val="tx1"/>
              </a:solidFill>
              <a:effectLst/>
              <a:latin typeface="+mn-lt"/>
              <a:ea typeface="+mn-ea"/>
              <a:cs typeface="+mn-cs"/>
            </a:rPr>
            <a:t>Aller</a:t>
          </a:r>
          <a:r>
            <a:rPr lang="fr-FR" sz="1800" b="1" baseline="0">
              <a:solidFill>
                <a:schemeClr val="tx1"/>
              </a:solidFill>
              <a:effectLst/>
              <a:latin typeface="+mn-lt"/>
              <a:ea typeface="+mn-ea"/>
              <a:cs typeface="+mn-cs"/>
            </a:rPr>
            <a:t> vers Informations sociales</a:t>
          </a:r>
          <a:endParaRPr lang="en-BE" sz="1800" b="1">
            <a:solidFill>
              <a:schemeClr val="tx1"/>
            </a:solidFill>
            <a:effectLst/>
          </a:endParaRPr>
        </a:p>
        <a:p>
          <a:pPr algn="ctr"/>
          <a:endParaRPr lang="en-BE" sz="1800" b="1">
            <a:solidFill>
              <a:schemeClr val="tx1"/>
            </a:solidFill>
          </a:endParaRPr>
        </a:p>
      </xdr:txBody>
    </xdr:sp>
    <xdr:clientData/>
  </xdr:twoCellAnchor>
  <xdr:twoCellAnchor>
    <xdr:from>
      <xdr:col>10</xdr:col>
      <xdr:colOff>393247</xdr:colOff>
      <xdr:row>254</xdr:row>
      <xdr:rowOff>164647</xdr:rowOff>
    </xdr:from>
    <xdr:to>
      <xdr:col>11</xdr:col>
      <xdr:colOff>1857376</xdr:colOff>
      <xdr:row>262</xdr:row>
      <xdr:rowOff>138793</xdr:rowOff>
    </xdr:to>
    <xdr:sp macro="" textlink="">
      <xdr:nvSpPr>
        <xdr:cNvPr id="4" name="Arrow: Right 3">
          <a:hlinkClick xmlns:r="http://schemas.openxmlformats.org/officeDocument/2006/relationships" r:id="rId2"/>
          <a:extLst>
            <a:ext uri="{FF2B5EF4-FFF2-40B4-BE49-F238E27FC236}">
              <a16:creationId xmlns:a16="http://schemas.microsoft.com/office/drawing/2014/main" id="{55FD9AF0-1E71-4787-98B3-63EBD7D1A459}"/>
            </a:ext>
          </a:extLst>
        </xdr:cNvPr>
        <xdr:cNvSpPr/>
      </xdr:nvSpPr>
      <xdr:spPr>
        <a:xfrm>
          <a:off x="15861847" y="62365618"/>
          <a:ext cx="2737758" cy="1454604"/>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800" b="1">
              <a:solidFill>
                <a:schemeClr val="tx1"/>
              </a:solidFill>
              <a:effectLst/>
              <a:latin typeface="+mn-lt"/>
              <a:ea typeface="+mn-ea"/>
              <a:cs typeface="+mn-cs"/>
            </a:rPr>
            <a:t>Aller vers Informations de gouvernance</a:t>
          </a:r>
          <a:endParaRPr lang="en-BE" sz="1800" b="1">
            <a:solidFill>
              <a:schemeClr val="tx1"/>
            </a:solidFill>
            <a:effectLst/>
          </a:endParaRPr>
        </a:p>
      </xdr:txBody>
    </xdr:sp>
    <xdr:clientData/>
  </xdr:twoCellAnchor>
  <xdr:twoCellAnchor>
    <xdr:from>
      <xdr:col>4</xdr:col>
      <xdr:colOff>880382</xdr:colOff>
      <xdr:row>247</xdr:row>
      <xdr:rowOff>119743</xdr:rowOff>
    </xdr:from>
    <xdr:to>
      <xdr:col>6</xdr:col>
      <xdr:colOff>732064</xdr:colOff>
      <xdr:row>251</xdr:row>
      <xdr:rowOff>88447</xdr:rowOff>
    </xdr:to>
    <xdr:sp macro="" textlink="">
      <xdr:nvSpPr>
        <xdr:cNvPr id="5" name="Rectangle 4">
          <a:hlinkClick xmlns:r="http://schemas.openxmlformats.org/officeDocument/2006/relationships" r:id="rId3"/>
          <a:extLst>
            <a:ext uri="{FF2B5EF4-FFF2-40B4-BE49-F238E27FC236}">
              <a16:creationId xmlns:a16="http://schemas.microsoft.com/office/drawing/2014/main" id="{E1B8D3EB-C8A5-427E-B5B4-003A8002592F}"/>
            </a:ext>
          </a:extLst>
        </xdr:cNvPr>
        <xdr:cNvSpPr/>
      </xdr:nvSpPr>
      <xdr:spPr>
        <a:xfrm>
          <a:off x="8772525" y="61025314"/>
          <a:ext cx="2758168" cy="708933"/>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800" b="1">
              <a:solidFill>
                <a:schemeClr val="tx1"/>
              </a:solidFill>
            </a:rPr>
            <a:t>Aller vers</a:t>
          </a:r>
          <a:r>
            <a:rPr lang="en-BE" sz="1800" b="1">
              <a:solidFill>
                <a:schemeClr val="tx1"/>
              </a:solidFill>
            </a:rPr>
            <a:t> Int</a:t>
          </a:r>
          <a:r>
            <a:rPr lang="fr-FR" sz="1800" b="1">
              <a:solidFill>
                <a:schemeClr val="tx1"/>
              </a:solidFill>
            </a:rPr>
            <a:t>r</a:t>
          </a:r>
          <a:r>
            <a:rPr lang="en-BE" sz="1800" b="1">
              <a:solidFill>
                <a:schemeClr val="tx1"/>
              </a:solidFill>
            </a:rPr>
            <a:t>oduction &amp; Validation</a:t>
          </a:r>
        </a:p>
      </xdr:txBody>
    </xdr:sp>
    <xdr:clientData/>
  </xdr:twoCellAnchor>
  <xdr:twoCellAnchor>
    <xdr:from>
      <xdr:col>4</xdr:col>
      <xdr:colOff>869496</xdr:colOff>
      <xdr:row>256</xdr:row>
      <xdr:rowOff>69397</xdr:rowOff>
    </xdr:from>
    <xdr:to>
      <xdr:col>6</xdr:col>
      <xdr:colOff>721178</xdr:colOff>
      <xdr:row>260</xdr:row>
      <xdr:rowOff>38101</xdr:rowOff>
    </xdr:to>
    <xdr:sp macro="" textlink="">
      <xdr:nvSpPr>
        <xdr:cNvPr id="6" name="Rectangle 5">
          <a:hlinkClick xmlns:r="http://schemas.openxmlformats.org/officeDocument/2006/relationships" r:id="rId4"/>
          <a:extLst>
            <a:ext uri="{FF2B5EF4-FFF2-40B4-BE49-F238E27FC236}">
              <a16:creationId xmlns:a16="http://schemas.microsoft.com/office/drawing/2014/main" id="{B6C7FA17-3A95-4322-89A6-BE9C7E7EDC7C}"/>
            </a:ext>
          </a:extLst>
        </xdr:cNvPr>
        <xdr:cNvSpPr/>
      </xdr:nvSpPr>
      <xdr:spPr>
        <a:xfrm>
          <a:off x="8761639" y="62640483"/>
          <a:ext cx="2758168" cy="708932"/>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800" b="1">
              <a:solidFill>
                <a:schemeClr val="tx1"/>
              </a:solidFill>
            </a:rPr>
            <a:t>Aller</a:t>
          </a:r>
          <a:r>
            <a:rPr lang="fr-FR" sz="1800" b="1" baseline="0">
              <a:solidFill>
                <a:schemeClr val="tx1"/>
              </a:solidFill>
            </a:rPr>
            <a:t> vers Table des matières</a:t>
          </a:r>
          <a:r>
            <a:rPr lang="en-BE" sz="1800" b="1">
              <a:solidFill>
                <a:schemeClr val="tx1"/>
              </a:solidFill>
            </a:rPr>
            <a:t>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2</xdr:col>
      <xdr:colOff>118382</xdr:colOff>
      <xdr:row>245</xdr:row>
      <xdr:rowOff>107495</xdr:rowOff>
    </xdr:from>
    <xdr:to>
      <xdr:col>2</xdr:col>
      <xdr:colOff>3322819</xdr:colOff>
      <xdr:row>253</xdr:row>
      <xdr:rowOff>162394</xdr:rowOff>
    </xdr:to>
    <xdr:sp macro="" textlink="">
      <xdr:nvSpPr>
        <xdr:cNvPr id="9" name="Arrow: Left 8">
          <a:hlinkClick xmlns:r="http://schemas.openxmlformats.org/officeDocument/2006/relationships" r:id="rId5"/>
          <a:extLst>
            <a:ext uri="{FF2B5EF4-FFF2-40B4-BE49-F238E27FC236}">
              <a16:creationId xmlns:a16="http://schemas.microsoft.com/office/drawing/2014/main" id="{A0A23430-4DD2-E4F0-14C3-62475C30B0A8}"/>
            </a:ext>
          </a:extLst>
        </xdr:cNvPr>
        <xdr:cNvSpPr/>
      </xdr:nvSpPr>
      <xdr:spPr>
        <a:xfrm>
          <a:off x="2754152" y="54221987"/>
          <a:ext cx="3204437" cy="155391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tx1"/>
              </a:solidFill>
            </a:rPr>
            <a:t>Aller</a:t>
          </a:r>
          <a:r>
            <a:rPr lang="fr-FR" sz="1800" b="1" baseline="0">
              <a:solidFill>
                <a:schemeClr val="tx1"/>
              </a:solidFill>
            </a:rPr>
            <a:t> vers Informations générales</a:t>
          </a:r>
          <a:endParaRPr lang="en-BE" sz="1800" b="1">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877692</xdr:colOff>
      <xdr:row>41</xdr:row>
      <xdr:rowOff>138059</xdr:rowOff>
    </xdr:from>
    <xdr:to>
      <xdr:col>7</xdr:col>
      <xdr:colOff>558091</xdr:colOff>
      <xdr:row>45</xdr:row>
      <xdr:rowOff>115554</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8DC81852-B45D-4BA7-81E6-18451D6BACFB}"/>
            </a:ext>
          </a:extLst>
        </xdr:cNvPr>
        <xdr:cNvSpPr/>
      </xdr:nvSpPr>
      <xdr:spPr>
        <a:xfrm>
          <a:off x="5783067" y="13444484"/>
          <a:ext cx="2747449" cy="701395"/>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800" b="1">
              <a:solidFill>
                <a:schemeClr val="tx1"/>
              </a:solidFill>
            </a:rPr>
            <a:t>Aller vers</a:t>
          </a:r>
          <a:r>
            <a:rPr lang="en-BE" sz="1800" b="1">
              <a:solidFill>
                <a:schemeClr val="tx1"/>
              </a:solidFill>
            </a:rPr>
            <a:t> Int</a:t>
          </a:r>
          <a:r>
            <a:rPr lang="fr-FR" sz="1800" b="1">
              <a:solidFill>
                <a:schemeClr val="tx1"/>
              </a:solidFill>
            </a:rPr>
            <a:t>r</a:t>
          </a:r>
          <a:r>
            <a:rPr lang="en-BE" sz="1800" b="1">
              <a:solidFill>
                <a:schemeClr val="tx1"/>
              </a:solidFill>
            </a:rPr>
            <a:t>oduction &amp; Validation</a:t>
          </a:r>
        </a:p>
      </xdr:txBody>
    </xdr:sp>
    <xdr:clientData/>
  </xdr:twoCellAnchor>
  <xdr:twoCellAnchor>
    <xdr:from>
      <xdr:col>4</xdr:col>
      <xdr:colOff>775638</xdr:colOff>
      <xdr:row>51</xdr:row>
      <xdr:rowOff>152736</xdr:rowOff>
    </xdr:from>
    <xdr:to>
      <xdr:col>7</xdr:col>
      <xdr:colOff>456037</xdr:colOff>
      <xdr:row>55</xdr:row>
      <xdr:rowOff>130231</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BAFACF95-7662-4CC0-AA9A-C0846BB817A7}"/>
            </a:ext>
          </a:extLst>
        </xdr:cNvPr>
        <xdr:cNvSpPr/>
      </xdr:nvSpPr>
      <xdr:spPr>
        <a:xfrm>
          <a:off x="5681013" y="15268911"/>
          <a:ext cx="2747449" cy="701395"/>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800" b="1">
              <a:solidFill>
                <a:schemeClr val="tx1"/>
              </a:solidFill>
            </a:rPr>
            <a:t>Aller vers Table des matières</a:t>
          </a:r>
          <a:r>
            <a:rPr lang="en-BE" sz="1800" b="1">
              <a:solidFill>
                <a:schemeClr val="tx1"/>
              </a:solidFill>
            </a:rPr>
            <a:t>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1</xdr:col>
      <xdr:colOff>1196939</xdr:colOff>
      <xdr:row>39</xdr:row>
      <xdr:rowOff>104561</xdr:rowOff>
    </xdr:from>
    <xdr:to>
      <xdr:col>3</xdr:col>
      <xdr:colOff>325133</xdr:colOff>
      <xdr:row>47</xdr:row>
      <xdr:rowOff>143734</xdr:rowOff>
    </xdr:to>
    <xdr:sp macro="" textlink="">
      <xdr:nvSpPr>
        <xdr:cNvPr id="4" name="Arrow: Left 3">
          <a:hlinkClick xmlns:r="http://schemas.openxmlformats.org/officeDocument/2006/relationships" r:id="rId3"/>
          <a:extLst>
            <a:ext uri="{FF2B5EF4-FFF2-40B4-BE49-F238E27FC236}">
              <a16:creationId xmlns:a16="http://schemas.microsoft.com/office/drawing/2014/main" id="{D3F3F3FB-C055-40A4-8115-81157E182856}"/>
            </a:ext>
          </a:extLst>
        </xdr:cNvPr>
        <xdr:cNvSpPr/>
      </xdr:nvSpPr>
      <xdr:spPr>
        <a:xfrm>
          <a:off x="1892264" y="13049036"/>
          <a:ext cx="2728644" cy="1486973"/>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tx1"/>
              </a:solidFill>
            </a:rPr>
            <a:t>Aller vers Informations générales</a:t>
          </a:r>
          <a:endParaRPr lang="en-BE" sz="1800" b="1">
            <a:solidFill>
              <a:schemeClr val="tx1"/>
            </a:solidFill>
          </a:endParaRPr>
        </a:p>
      </xdr:txBody>
    </xdr:sp>
    <xdr:clientData/>
  </xdr:twoCellAnchor>
  <xdr:twoCellAnchor>
    <xdr:from>
      <xdr:col>1</xdr:col>
      <xdr:colOff>1215989</xdr:colOff>
      <xdr:row>49</xdr:row>
      <xdr:rowOff>87759</xdr:rowOff>
    </xdr:from>
    <xdr:to>
      <xdr:col>3</xdr:col>
      <xdr:colOff>344183</xdr:colOff>
      <xdr:row>57</xdr:row>
      <xdr:rowOff>125754</xdr:rowOff>
    </xdr:to>
    <xdr:sp macro="" textlink="">
      <xdr:nvSpPr>
        <xdr:cNvPr id="6" name="Arrow: Left 5">
          <a:hlinkClick xmlns:r="http://schemas.openxmlformats.org/officeDocument/2006/relationships" r:id="rId4"/>
          <a:extLst>
            <a:ext uri="{FF2B5EF4-FFF2-40B4-BE49-F238E27FC236}">
              <a16:creationId xmlns:a16="http://schemas.microsoft.com/office/drawing/2014/main" id="{E467942C-2652-431A-9503-8B9538F436CF}"/>
            </a:ext>
          </a:extLst>
        </xdr:cNvPr>
        <xdr:cNvSpPr/>
      </xdr:nvSpPr>
      <xdr:spPr>
        <a:xfrm>
          <a:off x="1911314" y="14841984"/>
          <a:ext cx="2728644" cy="148579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tx1"/>
              </a:solidFill>
            </a:rPr>
            <a:t>Aller vers Informations environnementales</a:t>
          </a:r>
          <a:endParaRPr lang="en-BE" sz="1800" b="1">
            <a:solidFill>
              <a:schemeClr val="tx1"/>
            </a:solidFill>
          </a:endParaRPr>
        </a:p>
      </xdr:txBody>
    </xdr:sp>
    <xdr:clientData/>
  </xdr:twoCellAnchor>
  <xdr:twoCellAnchor>
    <xdr:from>
      <xdr:col>1</xdr:col>
      <xdr:colOff>1206464</xdr:colOff>
      <xdr:row>58</xdr:row>
      <xdr:rowOff>136454</xdr:rowOff>
    </xdr:from>
    <xdr:to>
      <xdr:col>3</xdr:col>
      <xdr:colOff>334658</xdr:colOff>
      <xdr:row>66</xdr:row>
      <xdr:rowOff>174449</xdr:rowOff>
    </xdr:to>
    <xdr:sp macro="" textlink="">
      <xdr:nvSpPr>
        <xdr:cNvPr id="7" name="Arrow: Left 6">
          <a:hlinkClick xmlns:r="http://schemas.openxmlformats.org/officeDocument/2006/relationships" r:id="rId5"/>
          <a:extLst>
            <a:ext uri="{FF2B5EF4-FFF2-40B4-BE49-F238E27FC236}">
              <a16:creationId xmlns:a16="http://schemas.microsoft.com/office/drawing/2014/main" id="{69FF6380-3005-4F74-92F9-46D52069ADDA}"/>
            </a:ext>
          </a:extLst>
        </xdr:cNvPr>
        <xdr:cNvSpPr/>
      </xdr:nvSpPr>
      <xdr:spPr>
        <a:xfrm>
          <a:off x="1901789" y="16519454"/>
          <a:ext cx="2728644" cy="148579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tx1"/>
              </a:solidFill>
            </a:rPr>
            <a:t>Aller vers Informations sociales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160565</xdr:colOff>
      <xdr:row>110</xdr:row>
      <xdr:rowOff>53068</xdr:rowOff>
    </xdr:from>
    <xdr:to>
      <xdr:col>8</xdr:col>
      <xdr:colOff>213633</xdr:colOff>
      <xdr:row>118</xdr:row>
      <xdr:rowOff>31297</xdr:rowOff>
    </xdr:to>
    <xdr:sp macro="" textlink="">
      <xdr:nvSpPr>
        <xdr:cNvPr id="3" name="Arrow: Right 2">
          <a:hlinkClick xmlns:r="http://schemas.openxmlformats.org/officeDocument/2006/relationships" r:id="rId1"/>
          <a:extLst>
            <a:ext uri="{FF2B5EF4-FFF2-40B4-BE49-F238E27FC236}">
              <a16:creationId xmlns:a16="http://schemas.microsoft.com/office/drawing/2014/main" id="{E997F0E8-8CEB-48B4-9BA8-D779EA9C83DD}"/>
            </a:ext>
          </a:extLst>
        </xdr:cNvPr>
        <xdr:cNvSpPr/>
      </xdr:nvSpPr>
      <xdr:spPr>
        <a:xfrm>
          <a:off x="11840936" y="31001154"/>
          <a:ext cx="2730954" cy="1458686"/>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800" b="1">
              <a:solidFill>
                <a:schemeClr val="tx1"/>
              </a:solidFill>
              <a:effectLst/>
              <a:latin typeface="+mn-lt"/>
              <a:ea typeface="+mn-ea"/>
              <a:cs typeface="+mn-cs"/>
            </a:rPr>
            <a:t>Aller vers Informations de gouvernance</a:t>
          </a:r>
          <a:endParaRPr lang="en-BE" sz="1800" b="1">
            <a:solidFill>
              <a:schemeClr val="tx1"/>
            </a:solidFill>
            <a:effectLst/>
          </a:endParaRPr>
        </a:p>
      </xdr:txBody>
    </xdr:sp>
    <xdr:clientData/>
  </xdr:twoCellAnchor>
  <xdr:twoCellAnchor>
    <xdr:from>
      <xdr:col>2</xdr:col>
      <xdr:colOff>4662713</xdr:colOff>
      <xdr:row>112</xdr:row>
      <xdr:rowOff>56998</xdr:rowOff>
    </xdr:from>
    <xdr:to>
      <xdr:col>3</xdr:col>
      <xdr:colOff>1980775</xdr:colOff>
      <xdr:row>116</xdr:row>
      <xdr:rowOff>29783</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C63E2430-FD6B-43E1-A3F6-4DDC98CB497F}"/>
            </a:ext>
          </a:extLst>
        </xdr:cNvPr>
        <xdr:cNvSpPr/>
      </xdr:nvSpPr>
      <xdr:spPr>
        <a:xfrm>
          <a:off x="7761513" y="24051531"/>
          <a:ext cx="2135595" cy="717852"/>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800" b="1">
              <a:solidFill>
                <a:schemeClr val="tx1"/>
              </a:solidFill>
            </a:rPr>
            <a:t>Aller vers</a:t>
          </a:r>
          <a:r>
            <a:rPr lang="en-BE" sz="1800" b="1">
              <a:solidFill>
                <a:schemeClr val="tx1"/>
              </a:solidFill>
            </a:rPr>
            <a:t> Int</a:t>
          </a:r>
          <a:r>
            <a:rPr lang="fr-FR" sz="1800" b="1">
              <a:solidFill>
                <a:schemeClr val="tx1"/>
              </a:solidFill>
            </a:rPr>
            <a:t>r</a:t>
          </a:r>
          <a:r>
            <a:rPr lang="en-BE" sz="1800" b="1">
              <a:solidFill>
                <a:schemeClr val="tx1"/>
              </a:solidFill>
            </a:rPr>
            <a:t>oduction &amp; Validation</a:t>
          </a:r>
        </a:p>
      </xdr:txBody>
    </xdr:sp>
    <xdr:clientData/>
  </xdr:twoCellAnchor>
  <xdr:twoCellAnchor>
    <xdr:from>
      <xdr:col>2</xdr:col>
      <xdr:colOff>4676018</xdr:colOff>
      <xdr:row>122</xdr:row>
      <xdr:rowOff>97366</xdr:rowOff>
    </xdr:from>
    <xdr:to>
      <xdr:col>3</xdr:col>
      <xdr:colOff>1971220</xdr:colOff>
      <xdr:row>126</xdr:row>
      <xdr:rowOff>70152</xdr:rowOff>
    </xdr:to>
    <xdr:sp macro="" textlink="">
      <xdr:nvSpPr>
        <xdr:cNvPr id="5" name="Rectangle 4">
          <a:hlinkClick xmlns:r="http://schemas.openxmlformats.org/officeDocument/2006/relationships" r:id="rId3"/>
          <a:extLst>
            <a:ext uri="{FF2B5EF4-FFF2-40B4-BE49-F238E27FC236}">
              <a16:creationId xmlns:a16="http://schemas.microsoft.com/office/drawing/2014/main" id="{926E470B-D682-412F-8335-2455D40665AC}"/>
            </a:ext>
          </a:extLst>
        </xdr:cNvPr>
        <xdr:cNvSpPr/>
      </xdr:nvSpPr>
      <xdr:spPr>
        <a:xfrm>
          <a:off x="7774818" y="25954566"/>
          <a:ext cx="2112735" cy="717853"/>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800" b="1">
              <a:solidFill>
                <a:schemeClr val="tx1"/>
              </a:solidFill>
            </a:rPr>
            <a:t>Aller vers Table des matières</a:t>
          </a:r>
          <a:r>
            <a:rPr lang="en-BE" sz="1800" b="1">
              <a:solidFill>
                <a:schemeClr val="tx1"/>
              </a:solidFill>
            </a:rPr>
            <a:t>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1</xdr:col>
      <xdr:colOff>757917</xdr:colOff>
      <xdr:row>110</xdr:row>
      <xdr:rowOff>80282</xdr:rowOff>
    </xdr:from>
    <xdr:to>
      <xdr:col>2</xdr:col>
      <xdr:colOff>2924175</xdr:colOff>
      <xdr:row>121</xdr:row>
      <xdr:rowOff>19050</xdr:rowOff>
    </xdr:to>
    <xdr:sp macro="" textlink="">
      <xdr:nvSpPr>
        <xdr:cNvPr id="6" name="Arrow: Left 5">
          <a:hlinkClick xmlns:r="http://schemas.openxmlformats.org/officeDocument/2006/relationships" r:id="rId4"/>
          <a:extLst>
            <a:ext uri="{FF2B5EF4-FFF2-40B4-BE49-F238E27FC236}">
              <a16:creationId xmlns:a16="http://schemas.microsoft.com/office/drawing/2014/main" id="{05D34B3E-7A7B-4C6A-ABAD-12F993B1167B}"/>
            </a:ext>
          </a:extLst>
        </xdr:cNvPr>
        <xdr:cNvSpPr/>
      </xdr:nvSpPr>
      <xdr:spPr>
        <a:xfrm>
          <a:off x="1519917" y="23302232"/>
          <a:ext cx="2928258" cy="1929493"/>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tx1"/>
              </a:solidFill>
            </a:rPr>
            <a:t>Aller vers Informations générales</a:t>
          </a:r>
          <a:endParaRPr lang="en-BE" sz="1800" b="1">
            <a:solidFill>
              <a:schemeClr val="tx1"/>
            </a:solidFill>
          </a:endParaRPr>
        </a:p>
      </xdr:txBody>
    </xdr:sp>
    <xdr:clientData/>
  </xdr:twoCellAnchor>
  <xdr:twoCellAnchor>
    <xdr:from>
      <xdr:col>1</xdr:col>
      <xdr:colOff>651782</xdr:colOff>
      <xdr:row>123</xdr:row>
      <xdr:rowOff>140154</xdr:rowOff>
    </xdr:from>
    <xdr:to>
      <xdr:col>2</xdr:col>
      <xdr:colOff>2686050</xdr:colOff>
      <xdr:row>135</xdr:row>
      <xdr:rowOff>123825</xdr:rowOff>
    </xdr:to>
    <xdr:sp macro="" textlink="">
      <xdr:nvSpPr>
        <xdr:cNvPr id="7" name="Arrow: Left 6">
          <a:hlinkClick xmlns:r="http://schemas.openxmlformats.org/officeDocument/2006/relationships" r:id="rId5"/>
          <a:extLst>
            <a:ext uri="{FF2B5EF4-FFF2-40B4-BE49-F238E27FC236}">
              <a16:creationId xmlns:a16="http://schemas.microsoft.com/office/drawing/2014/main" id="{7A757C88-ADDE-437C-BBC5-46F7C62BF5E6}"/>
            </a:ext>
          </a:extLst>
        </xdr:cNvPr>
        <xdr:cNvSpPr/>
      </xdr:nvSpPr>
      <xdr:spPr>
        <a:xfrm>
          <a:off x="1413782" y="25714779"/>
          <a:ext cx="2796268" cy="2155371"/>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800" b="1">
              <a:solidFill>
                <a:schemeClr val="tx1"/>
              </a:solidFill>
            </a:rPr>
            <a:t>Aller vers</a:t>
          </a:r>
          <a:r>
            <a:rPr lang="en-BE" sz="1800" b="1">
              <a:solidFill>
                <a:schemeClr val="tx1"/>
              </a:solidFill>
            </a:rPr>
            <a:t> Information</a:t>
          </a:r>
          <a:r>
            <a:rPr lang="fr-FR" sz="1800" b="1">
              <a:solidFill>
                <a:schemeClr val="tx1"/>
              </a:solidFill>
            </a:rPr>
            <a:t>s environnementales</a:t>
          </a:r>
          <a:endParaRPr lang="en-BE" sz="1800" b="1">
            <a:solidFill>
              <a:schemeClr val="tx1"/>
            </a:solidFill>
          </a:endParaRPr>
        </a:p>
      </xdr:txBody>
    </xdr:sp>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xbrl.efrag.org/taxonomy/vsme/2024-12-17/vsme-all.xsd"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hyperlink" Target="https://xbrl.efrag.org/e-esrs/2024-12-17-efrag-vsme.xhtml" TargetMode="External"/><Relationship Id="rId18" Type="http://schemas.openxmlformats.org/officeDocument/2006/relationships/hyperlink" Target="https://xbrl.efrag.org/e-esrs/2024-12-17-efrag-vsme.xhtml" TargetMode="External"/><Relationship Id="rId26" Type="http://schemas.openxmlformats.org/officeDocument/2006/relationships/hyperlink" Target="https://xbrl.efrag.org/e-esrs/2024-12-17-efrag-vsme.xhtml" TargetMode="External"/><Relationship Id="rId21" Type="http://schemas.openxmlformats.org/officeDocument/2006/relationships/hyperlink" Target="https://xbrl.efrag.org/e-esrs/2024-12-17-efrag-vsme.xhtml" TargetMode="External"/><Relationship Id="rId34" Type="http://schemas.openxmlformats.org/officeDocument/2006/relationships/hyperlink" Target="https://xbrl.efrag.org/e-esrs/2024-12-17-efrag-vsme.xhtml" TargetMode="External"/><Relationship Id="rId7" Type="http://schemas.openxmlformats.org/officeDocument/2006/relationships/hyperlink" Target="https://xbrl.efrag.org/e-esrs/2024-12-17-efrag-vsme.xhtml" TargetMode="External"/><Relationship Id="rId12" Type="http://schemas.openxmlformats.org/officeDocument/2006/relationships/hyperlink" Target="https://xbrl.efrag.org/e-esrs/2024-12-17-efrag-vsme.xhtml" TargetMode="External"/><Relationship Id="rId17" Type="http://schemas.openxmlformats.org/officeDocument/2006/relationships/hyperlink" Target="https://xbrl.efrag.org/e-esrs/2024-12-17-efrag-vsme.xhtml" TargetMode="External"/><Relationship Id="rId25" Type="http://schemas.openxmlformats.org/officeDocument/2006/relationships/hyperlink" Target="https://xbrl.efrag.org/e-esrs/2024-12-17-efrag-vsme.xhtml" TargetMode="External"/><Relationship Id="rId33" Type="http://schemas.openxmlformats.org/officeDocument/2006/relationships/hyperlink" Target="https://xbrl.efrag.org/e-esrs/2024-12-17-efrag-vsme.xhtml" TargetMode="External"/><Relationship Id="rId38" Type="http://schemas.openxmlformats.org/officeDocument/2006/relationships/drawing" Target="../drawings/drawing2.xml"/><Relationship Id="rId2" Type="http://schemas.openxmlformats.org/officeDocument/2006/relationships/hyperlink" Target="https://xbrl.efrag.org/e-esrs/2024-12-17-efrag-vsme.xhtml" TargetMode="External"/><Relationship Id="rId16" Type="http://schemas.openxmlformats.org/officeDocument/2006/relationships/hyperlink" Target="https://xbrl.efrag.org/e-esrs/2024-12-17-efrag-vsme.xhtml" TargetMode="External"/><Relationship Id="rId20" Type="http://schemas.openxmlformats.org/officeDocument/2006/relationships/hyperlink" Target="https://xbrl.efrag.org/e-esrs/2024-12-17-efrag-vsme.xhtml" TargetMode="External"/><Relationship Id="rId29" Type="http://schemas.openxmlformats.org/officeDocument/2006/relationships/hyperlink" Target="https://xbrl.efrag.org/e-esrs/2024-12-17-efrag-vsme.xhtml"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esrs/2024-12-17-efrag-vsme.xhtml" TargetMode="External"/><Relationship Id="rId11" Type="http://schemas.openxmlformats.org/officeDocument/2006/relationships/hyperlink" Target="https://xbrl.efrag.org/e-esrs/2024-12-17-efrag-vsme.xhtml" TargetMode="External"/><Relationship Id="rId24" Type="http://schemas.openxmlformats.org/officeDocument/2006/relationships/hyperlink" Target="https://xbrl.efrag.org/e-esrs/2024-12-17-efrag-vsme.xhtml" TargetMode="External"/><Relationship Id="rId32" Type="http://schemas.openxmlformats.org/officeDocument/2006/relationships/hyperlink" Target="https://xbrl.efrag.org/e-esrs/2024-12-17-efrag-vsme.xhtml" TargetMode="External"/><Relationship Id="rId37" Type="http://schemas.openxmlformats.org/officeDocument/2006/relationships/printerSettings" Target="../printerSettings/printerSettings3.bin"/><Relationship Id="rId5" Type="http://schemas.openxmlformats.org/officeDocument/2006/relationships/hyperlink" Target="https://xbrl.efrag.org/e-esrs/2024-12-17-efrag-vsme.xhtml" TargetMode="External"/><Relationship Id="rId15" Type="http://schemas.openxmlformats.org/officeDocument/2006/relationships/hyperlink" Target="https://xbrl.efrag.org/e-esrs/2024-12-17-efrag-vsme.xhtml" TargetMode="External"/><Relationship Id="rId23" Type="http://schemas.openxmlformats.org/officeDocument/2006/relationships/hyperlink" Target="https://xbrl.efrag.org/e-esrs/2024-12-17-efrag-vsme.xhtml" TargetMode="External"/><Relationship Id="rId28" Type="http://schemas.openxmlformats.org/officeDocument/2006/relationships/hyperlink" Target="https://xbrl.efrag.org/e-esrs/2024-12-17-efrag-vsme.xhtml" TargetMode="External"/><Relationship Id="rId36" Type="http://schemas.openxmlformats.org/officeDocument/2006/relationships/hyperlink" Target="https://xbrl.efrag.org/e-esrs/2024-12-17-efrag-vsme.xhtml" TargetMode="External"/><Relationship Id="rId10" Type="http://schemas.openxmlformats.org/officeDocument/2006/relationships/hyperlink" Target="https://xbrl.efrag.org/e-esrs/2024-12-17-efrag-vsme.xhtml" TargetMode="External"/><Relationship Id="rId19" Type="http://schemas.openxmlformats.org/officeDocument/2006/relationships/hyperlink" Target="https://xbrl.efrag.org/e-esrs/2024-12-17-efrag-vsme.xhtml" TargetMode="External"/><Relationship Id="rId31" Type="http://schemas.openxmlformats.org/officeDocument/2006/relationships/hyperlink" Target="https://xbrl.efrag.org/e-esrs/2024-12-17-efrag-vsme.xhtml" TargetMode="External"/><Relationship Id="rId4" Type="http://schemas.openxmlformats.org/officeDocument/2006/relationships/hyperlink" Target="https://xbrl.efrag.org/e-esrs/2024-12-17-efrag-vsme.xhtml" TargetMode="External"/><Relationship Id="rId9" Type="http://schemas.openxmlformats.org/officeDocument/2006/relationships/hyperlink" Target="https://xbrl.efrag.org/e-esrs/2024-12-17-efrag-vsme.xhtml" TargetMode="External"/><Relationship Id="rId14" Type="http://schemas.openxmlformats.org/officeDocument/2006/relationships/hyperlink" Target="https://xbrl.efrag.org/e-esrs/2024-12-17-efrag-vsme.xhtml" TargetMode="External"/><Relationship Id="rId22" Type="http://schemas.openxmlformats.org/officeDocument/2006/relationships/hyperlink" Target="https://xbrl.efrag.org/e-esrs/2024-12-17-efrag-vsme.xhtml" TargetMode="External"/><Relationship Id="rId27" Type="http://schemas.openxmlformats.org/officeDocument/2006/relationships/hyperlink" Target="https://xbrl.efrag.org/e-esrs/2024-12-17-efrag-vsme.xhtml" TargetMode="External"/><Relationship Id="rId30" Type="http://schemas.openxmlformats.org/officeDocument/2006/relationships/hyperlink" Target="https://xbrl.efrag.org/e-esrs/2024-12-17-efrag-vsme.xhtml" TargetMode="External"/><Relationship Id="rId35" Type="http://schemas.openxmlformats.org/officeDocument/2006/relationships/hyperlink" Target="https://xbrl.efrag.org/e-esrs/2024-12-17-efrag-vsme.xhtml" TargetMode="External"/><Relationship Id="rId8" Type="http://schemas.openxmlformats.org/officeDocument/2006/relationships/hyperlink" Target="https://xbrl.efrag.org/e-esrs/2024-12-17-efrag-vsme.xhtml" TargetMode="External"/><Relationship Id="rId3" Type="http://schemas.openxmlformats.org/officeDocument/2006/relationships/hyperlink" Target="https://xbrl.efrag.org/e-esrs/2024-12-17-efrag-vsme.xhtml"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s://xbrl.efrag.org/e-esrs/2024-12-17-efrag-vsme.xhtml" TargetMode="External"/><Relationship Id="rId18" Type="http://schemas.openxmlformats.org/officeDocument/2006/relationships/hyperlink" Target="https://xbrl.efrag.org/e-esrs/2024-12-17-efrag-vsme.xhtml" TargetMode="External"/><Relationship Id="rId26" Type="http://schemas.openxmlformats.org/officeDocument/2006/relationships/hyperlink" Target="https://xbrl.efrag.org/e-esrs/2024-12-17-efrag-vsme.xhtml" TargetMode="External"/><Relationship Id="rId39" Type="http://schemas.openxmlformats.org/officeDocument/2006/relationships/hyperlink" Target="https://xbrl.efrag.org/e-esrs/2024-12-17-efrag-vsme.xhtml" TargetMode="External"/><Relationship Id="rId21" Type="http://schemas.openxmlformats.org/officeDocument/2006/relationships/hyperlink" Target="https://xbrl.efrag.org/e-esrs/2024-12-17-efrag-vsme.xhtml" TargetMode="External"/><Relationship Id="rId34" Type="http://schemas.openxmlformats.org/officeDocument/2006/relationships/hyperlink" Target="https://xbrl.efrag.org/e-esrs/2024-12-17-efrag-vsme.xhtml" TargetMode="External"/><Relationship Id="rId42" Type="http://schemas.openxmlformats.org/officeDocument/2006/relationships/hyperlink" Target="https://xbrl.efrag.org/e-esrs/2024-12-17-efrag-vsme.xhtml" TargetMode="External"/><Relationship Id="rId47" Type="http://schemas.openxmlformats.org/officeDocument/2006/relationships/hyperlink" Target="https://xbrl.efrag.org/e-esrs/2024-12-17-efrag-vsme.xhtml" TargetMode="External"/><Relationship Id="rId50" Type="http://schemas.openxmlformats.org/officeDocument/2006/relationships/hyperlink" Target="https://xbrl.efrag.org/e-esrs/2024-12-17-efrag-vsme.xhtml" TargetMode="External"/><Relationship Id="rId7" Type="http://schemas.openxmlformats.org/officeDocument/2006/relationships/hyperlink" Target="https://xbrl.efrag.org/e-esrs/2024-12-17-efrag-vsme.xhtml" TargetMode="External"/><Relationship Id="rId2" Type="http://schemas.openxmlformats.org/officeDocument/2006/relationships/hyperlink" Target="https://xbrl.efrag.org/e-esrs/2024-12-17-efrag-vsme.xhtml" TargetMode="External"/><Relationship Id="rId16" Type="http://schemas.openxmlformats.org/officeDocument/2006/relationships/hyperlink" Target="https://xbrl.efrag.org/e-esrs/2024-12-17-efrag-vsme.xhtml" TargetMode="External"/><Relationship Id="rId29" Type="http://schemas.openxmlformats.org/officeDocument/2006/relationships/hyperlink" Target="https://xbrl.efrag.org/e-esrs/2024-12-17-efrag-vsme.xhtml" TargetMode="External"/><Relationship Id="rId11" Type="http://schemas.openxmlformats.org/officeDocument/2006/relationships/hyperlink" Target="https://xbrl.efrag.org/e-esrs/2024-12-17-efrag-vsme.xhtml" TargetMode="External"/><Relationship Id="rId24" Type="http://schemas.openxmlformats.org/officeDocument/2006/relationships/hyperlink" Target="https://xbrl.efrag.org/e-esrs/2024-12-17-efrag-vsme.xhtml" TargetMode="External"/><Relationship Id="rId32" Type="http://schemas.openxmlformats.org/officeDocument/2006/relationships/hyperlink" Target="https://xbrl.efrag.org/e-esrs/2024-12-17-efrag-vsme.xhtml" TargetMode="External"/><Relationship Id="rId37" Type="http://schemas.openxmlformats.org/officeDocument/2006/relationships/hyperlink" Target="https://xbrl.efrag.org/e-esrs/2024-12-17-efrag-vsme.xhtml" TargetMode="External"/><Relationship Id="rId40" Type="http://schemas.openxmlformats.org/officeDocument/2006/relationships/hyperlink" Target="https://xbrl.efrag.org/e-esrs/2024-12-17-efrag-vsme.xhtml" TargetMode="External"/><Relationship Id="rId45" Type="http://schemas.openxmlformats.org/officeDocument/2006/relationships/hyperlink" Target="https://xbrl.efrag.org/e-esrs/2024-12-17-efrag-vsme.xhtml" TargetMode="External"/><Relationship Id="rId53" Type="http://schemas.openxmlformats.org/officeDocument/2006/relationships/drawing" Target="../drawings/drawing3.xml"/><Relationship Id="rId5" Type="http://schemas.openxmlformats.org/officeDocument/2006/relationships/hyperlink" Target="https://xbrl.efrag.org/e-esrs/2024-12-17-efrag-vsme.xhtml" TargetMode="External"/><Relationship Id="rId10" Type="http://schemas.openxmlformats.org/officeDocument/2006/relationships/hyperlink" Target="https://xbrl.efrag.org/e-esrs/2024-12-17-efrag-vsme.xhtml" TargetMode="External"/><Relationship Id="rId19" Type="http://schemas.openxmlformats.org/officeDocument/2006/relationships/hyperlink" Target="https://xbrl.efrag.org/e-esrs/2024-12-17-efrag-vsme.xhtml" TargetMode="External"/><Relationship Id="rId31" Type="http://schemas.openxmlformats.org/officeDocument/2006/relationships/hyperlink" Target="https://xbrl.efrag.org/e-esrs/2024-12-17-efrag-vsme.xhtml" TargetMode="External"/><Relationship Id="rId44" Type="http://schemas.openxmlformats.org/officeDocument/2006/relationships/hyperlink" Target="https://xbrl.efrag.org/e-esrs/2024-12-17-efrag-vsme.xhtml" TargetMode="External"/><Relationship Id="rId52" Type="http://schemas.openxmlformats.org/officeDocument/2006/relationships/printerSettings" Target="../printerSettings/printerSettings4.bin"/><Relationship Id="rId4" Type="http://schemas.openxmlformats.org/officeDocument/2006/relationships/hyperlink" Target="https://xbrl.efrag.org/e-esrs/2024-12-17-efrag-vsme.xhtml" TargetMode="External"/><Relationship Id="rId9" Type="http://schemas.openxmlformats.org/officeDocument/2006/relationships/hyperlink" Target="https://xbrl.efrag.org/e-esrs/2024-12-17-efrag-vsme.xhtml" TargetMode="External"/><Relationship Id="rId14" Type="http://schemas.openxmlformats.org/officeDocument/2006/relationships/hyperlink" Target="https://xbrl.efrag.org/e-esrs/2024-12-17-efrag-vsme.xhtml" TargetMode="External"/><Relationship Id="rId22" Type="http://schemas.openxmlformats.org/officeDocument/2006/relationships/hyperlink" Target="https://xbrl.efrag.org/e-esrs/2024-12-17-efrag-vsme.xhtml" TargetMode="External"/><Relationship Id="rId27" Type="http://schemas.openxmlformats.org/officeDocument/2006/relationships/hyperlink" Target="https://xbrl.efrag.org/e-esrs/2024-12-17-efrag-vsme.xhtml" TargetMode="External"/><Relationship Id="rId30" Type="http://schemas.openxmlformats.org/officeDocument/2006/relationships/hyperlink" Target="https://xbrl.efrag.org/e-esrs/2024-12-17-efrag-vsme.xhtml" TargetMode="External"/><Relationship Id="rId35" Type="http://schemas.openxmlformats.org/officeDocument/2006/relationships/hyperlink" Target="https://xbrl.efrag.org/e-esrs/2024-12-17-efrag-vsme.xhtml" TargetMode="External"/><Relationship Id="rId43" Type="http://schemas.openxmlformats.org/officeDocument/2006/relationships/hyperlink" Target="https://xbrl.efrag.org/e-esrs/2024-12-17-efrag-vsme.xhtml" TargetMode="External"/><Relationship Id="rId48" Type="http://schemas.openxmlformats.org/officeDocument/2006/relationships/hyperlink" Target="https://xbrl.efrag.org/e-esrs/2024-12-17-efrag-vsme.xhtml" TargetMode="External"/><Relationship Id="rId8" Type="http://schemas.openxmlformats.org/officeDocument/2006/relationships/hyperlink" Target="https://xbrl.efrag.org/e-esrs/2024-12-17-efrag-vsme.xhtml" TargetMode="External"/><Relationship Id="rId51" Type="http://schemas.openxmlformats.org/officeDocument/2006/relationships/hyperlink" Target="https://xbrl.efrag.org/e-esrs/2024-12-17-efrag-vsme.xhtml" TargetMode="External"/><Relationship Id="rId3" Type="http://schemas.openxmlformats.org/officeDocument/2006/relationships/hyperlink" Target="https://xbrl.efrag.org/e-esrs/2024-12-17-efrag-vsme.xhtml" TargetMode="External"/><Relationship Id="rId12" Type="http://schemas.openxmlformats.org/officeDocument/2006/relationships/hyperlink" Target="https://xbrl.efrag.org/e-esrs/2024-12-17-efrag-vsme.xhtml" TargetMode="External"/><Relationship Id="rId17" Type="http://schemas.openxmlformats.org/officeDocument/2006/relationships/hyperlink" Target="https://xbrl.efrag.org/e-esrs/2024-12-17-efrag-vsme.xhtml" TargetMode="External"/><Relationship Id="rId25" Type="http://schemas.openxmlformats.org/officeDocument/2006/relationships/hyperlink" Target="https://xbrl.efrag.org/e-esrs/2024-12-17-efrag-vsme.xhtml" TargetMode="External"/><Relationship Id="rId33" Type="http://schemas.openxmlformats.org/officeDocument/2006/relationships/hyperlink" Target="https://xbrl.efrag.org/e-esrs/2024-12-17-efrag-vsme.xhtml" TargetMode="External"/><Relationship Id="rId38" Type="http://schemas.openxmlformats.org/officeDocument/2006/relationships/hyperlink" Target="https://xbrl.efrag.org/e-esrs/2024-12-17-efrag-vsme.xhtml" TargetMode="External"/><Relationship Id="rId46" Type="http://schemas.openxmlformats.org/officeDocument/2006/relationships/hyperlink" Target="https://xbrl.efrag.org/e-esrs/2024-12-17-efrag-vsme.xhtml" TargetMode="External"/><Relationship Id="rId20" Type="http://schemas.openxmlformats.org/officeDocument/2006/relationships/hyperlink" Target="https://xbrl.efrag.org/e-esrs/2024-12-17-efrag-vsme.xhtml" TargetMode="External"/><Relationship Id="rId41" Type="http://schemas.openxmlformats.org/officeDocument/2006/relationships/hyperlink" Target="https://xbrl.efrag.org/e-esrs/2024-12-17-efrag-vsme.xhtml"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esrs/2024-12-17-efrag-vsme.xhtml" TargetMode="External"/><Relationship Id="rId15" Type="http://schemas.openxmlformats.org/officeDocument/2006/relationships/hyperlink" Target="https://xbrl.efrag.org/e-esrs/2024-12-17-efrag-vsme.xhtml" TargetMode="External"/><Relationship Id="rId23" Type="http://schemas.openxmlformats.org/officeDocument/2006/relationships/hyperlink" Target="https://xbrl.efrag.org/e-esrs/2024-12-17-efrag-vsme.xhtml" TargetMode="External"/><Relationship Id="rId28" Type="http://schemas.openxmlformats.org/officeDocument/2006/relationships/hyperlink" Target="https://xbrl.efrag.org/e-esrs/2024-12-17-efrag-vsme.xhtml" TargetMode="External"/><Relationship Id="rId36" Type="http://schemas.openxmlformats.org/officeDocument/2006/relationships/hyperlink" Target="https://xbrl.efrag.org/e-esrs/2024-12-17-efrag-vsme.xhtml" TargetMode="External"/><Relationship Id="rId49" Type="http://schemas.openxmlformats.org/officeDocument/2006/relationships/hyperlink" Target="https://xbrl.efrag.org/e-esrs/2024-12-17-efrag-vsme.xhtml"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xbrl.efrag.org/e-esrs/2024-12-17-efrag-vsme.xhtml" TargetMode="External"/><Relationship Id="rId13" Type="http://schemas.openxmlformats.org/officeDocument/2006/relationships/hyperlink" Target="https://xbrl.efrag.org/e-esrs/2024-12-17-efrag-vsme.xhtml" TargetMode="External"/><Relationship Id="rId18" Type="http://schemas.openxmlformats.org/officeDocument/2006/relationships/drawing" Target="../drawings/drawing4.xml"/><Relationship Id="rId3" Type="http://schemas.openxmlformats.org/officeDocument/2006/relationships/hyperlink" Target="https://xbrl.efrag.org/e-esrs/2024-12-17-efrag-vsme.xhtml" TargetMode="External"/><Relationship Id="rId7" Type="http://schemas.openxmlformats.org/officeDocument/2006/relationships/hyperlink" Target="https://xbrl.efrag.org/e-esrs/2024-12-17-efrag-vsme.xhtml" TargetMode="External"/><Relationship Id="rId12" Type="http://schemas.openxmlformats.org/officeDocument/2006/relationships/hyperlink" Target="https://xbrl.efrag.org/e-esrs/2024-12-17-efrag-vsme.xhtml" TargetMode="External"/><Relationship Id="rId17" Type="http://schemas.openxmlformats.org/officeDocument/2006/relationships/hyperlink" Target="https://xbrl.efrag.org/e-esrs/2024-12-17-efrag-vsme.xhtml" TargetMode="External"/><Relationship Id="rId2" Type="http://schemas.openxmlformats.org/officeDocument/2006/relationships/hyperlink" Target="https://xbrl.efrag.org/e-esrs/2024-12-17-efrag-vsme.xhtml" TargetMode="External"/><Relationship Id="rId16" Type="http://schemas.openxmlformats.org/officeDocument/2006/relationships/hyperlink" Target="https://xbrl.efrag.org/e-esrs/2024-12-17-efrag-vsme.xhtml"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esrs/2024-12-17-efrag-vsme.xhtml" TargetMode="External"/><Relationship Id="rId11" Type="http://schemas.openxmlformats.org/officeDocument/2006/relationships/hyperlink" Target="https://xbrl.efrag.org/e-esrs/2024-12-17-efrag-vsme.xhtml" TargetMode="External"/><Relationship Id="rId5" Type="http://schemas.openxmlformats.org/officeDocument/2006/relationships/hyperlink" Target="https://xbrl.efrag.org/e-esrs/2024-12-17-efrag-vsme.xhtml" TargetMode="External"/><Relationship Id="rId15" Type="http://schemas.openxmlformats.org/officeDocument/2006/relationships/hyperlink" Target="https://xbrl.efrag.org/e-esrs/2024-12-17-efrag-vsme.xhtml" TargetMode="External"/><Relationship Id="rId10" Type="http://schemas.openxmlformats.org/officeDocument/2006/relationships/hyperlink" Target="https://xbrl.efrag.org/e-esrs/2024-12-17-efrag-vsme.xhtml" TargetMode="External"/><Relationship Id="rId4" Type="http://schemas.openxmlformats.org/officeDocument/2006/relationships/hyperlink" Target="https://xbrl.efrag.org/e-esrs/2024-12-17-efrag-vsme.xhtml" TargetMode="External"/><Relationship Id="rId9" Type="http://schemas.openxmlformats.org/officeDocument/2006/relationships/hyperlink" Target="https://xbrl.efrag.org/e-esrs/2024-12-17-efrag-vsme.xhtml" TargetMode="External"/><Relationship Id="rId14" Type="http://schemas.openxmlformats.org/officeDocument/2006/relationships/hyperlink" Target="https://xbrl.efrag.org/e-esrs/2024-12-17-efrag-vsme.xhtml"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xbrl.efrag.org/e-esrs/2024-12-17-efrag-vsme.xhtml" TargetMode="External"/><Relationship Id="rId18" Type="http://schemas.openxmlformats.org/officeDocument/2006/relationships/hyperlink" Target="https://xbrl.efrag.org/e-esrs/2024-12-17-efrag-vsme.xhtml" TargetMode="External"/><Relationship Id="rId26" Type="http://schemas.openxmlformats.org/officeDocument/2006/relationships/hyperlink" Target="https://xbrl.efrag.org/e-esrs/2024-12-17-efrag-vsme.xhtml" TargetMode="External"/><Relationship Id="rId39" Type="http://schemas.openxmlformats.org/officeDocument/2006/relationships/hyperlink" Target="https://xbrl.efrag.org/e-esrs/2024-12-17-efrag-vsme.xhtml" TargetMode="External"/><Relationship Id="rId21" Type="http://schemas.openxmlformats.org/officeDocument/2006/relationships/hyperlink" Target="https://xbrl.efrag.org/e-esrs/2024-12-17-efrag-vsme.xhtml" TargetMode="External"/><Relationship Id="rId34" Type="http://schemas.openxmlformats.org/officeDocument/2006/relationships/hyperlink" Target="https://xbrl.efrag.org/e-esrs/2024-12-17-efrag-vsme.xhtml" TargetMode="External"/><Relationship Id="rId42" Type="http://schemas.openxmlformats.org/officeDocument/2006/relationships/hyperlink" Target="https://xbrl.efrag.org/e-esrs/2024-12-17-efrag-vsme.xhtml" TargetMode="External"/><Relationship Id="rId47" Type="http://schemas.openxmlformats.org/officeDocument/2006/relationships/hyperlink" Target="https://xbrl.efrag.org/e-esrs/2024-12-17-efrag-vsme.xhtml" TargetMode="External"/><Relationship Id="rId50" Type="http://schemas.openxmlformats.org/officeDocument/2006/relationships/hyperlink" Target="https://xbrl.efrag.org/e-esrs/2024-12-17-efrag-vsme.xhtml" TargetMode="External"/><Relationship Id="rId55" Type="http://schemas.openxmlformats.org/officeDocument/2006/relationships/hyperlink" Target="https://xbrl.efrag.org/e-esrs/2024-12-17-efrag-vsme.xhtml" TargetMode="External"/><Relationship Id="rId63" Type="http://schemas.openxmlformats.org/officeDocument/2006/relationships/hyperlink" Target="https://xbrl.efrag.org/e-esrs/2024-12-17-efrag-vsme.xhtml" TargetMode="External"/><Relationship Id="rId7" Type="http://schemas.openxmlformats.org/officeDocument/2006/relationships/hyperlink" Target="https://xbrl.efrag.org/e-esrs/2024-12-17-efrag-vsme.xhtml" TargetMode="External"/><Relationship Id="rId2" Type="http://schemas.openxmlformats.org/officeDocument/2006/relationships/hyperlink" Target="https://xbrl.efrag.org/e-esrs/2024-12-17-efrag-vsme.xhtml" TargetMode="External"/><Relationship Id="rId16" Type="http://schemas.openxmlformats.org/officeDocument/2006/relationships/hyperlink" Target="https://xbrl.efrag.org/e-esrs/2024-12-17-efrag-vsme.xhtml" TargetMode="External"/><Relationship Id="rId29" Type="http://schemas.openxmlformats.org/officeDocument/2006/relationships/hyperlink" Target="https://xbrl.efrag.org/e-esrs/2024-12-17-efrag-vsme.xhtml" TargetMode="External"/><Relationship Id="rId11" Type="http://schemas.openxmlformats.org/officeDocument/2006/relationships/hyperlink" Target="https://xbrl.efrag.org/e-esrs/2024-12-17-efrag-vsme.xhtml" TargetMode="External"/><Relationship Id="rId24" Type="http://schemas.openxmlformats.org/officeDocument/2006/relationships/hyperlink" Target="https://xbrl.efrag.org/e-esrs/2024-12-17-efrag-vsme.xhtml" TargetMode="External"/><Relationship Id="rId32" Type="http://schemas.openxmlformats.org/officeDocument/2006/relationships/hyperlink" Target="https://xbrl.efrag.org/e-esrs/2024-12-17-efrag-vsme.xhtml" TargetMode="External"/><Relationship Id="rId37" Type="http://schemas.openxmlformats.org/officeDocument/2006/relationships/hyperlink" Target="https://xbrl.efrag.org/e-esrs/2024-12-17-efrag-vsme.xhtml" TargetMode="External"/><Relationship Id="rId40" Type="http://schemas.openxmlformats.org/officeDocument/2006/relationships/hyperlink" Target="https://xbrl.efrag.org/e-esrs/2024-12-17-efrag-vsme.xhtml" TargetMode="External"/><Relationship Id="rId45" Type="http://schemas.openxmlformats.org/officeDocument/2006/relationships/hyperlink" Target="https://xbrl.efrag.org/e-esrs/2024-12-17-efrag-vsme.xhtml" TargetMode="External"/><Relationship Id="rId53" Type="http://schemas.openxmlformats.org/officeDocument/2006/relationships/hyperlink" Target="https://xbrl.efrag.org/e-esrs/2024-12-17-efrag-vsme.xhtml" TargetMode="External"/><Relationship Id="rId58" Type="http://schemas.openxmlformats.org/officeDocument/2006/relationships/hyperlink" Target="https://xbrl.efrag.org/e-esrs/2024-12-17-efrag-vsme.xhtml" TargetMode="External"/><Relationship Id="rId5" Type="http://schemas.openxmlformats.org/officeDocument/2006/relationships/hyperlink" Target="https://xbrl.efrag.org/e-esrs/2024-12-17-efrag-vsme.xhtml" TargetMode="External"/><Relationship Id="rId61" Type="http://schemas.openxmlformats.org/officeDocument/2006/relationships/hyperlink" Target="https://xbrl.efrag.org/e-esrs/2024-12-17-efrag-vsme.xhtml" TargetMode="External"/><Relationship Id="rId19" Type="http://schemas.openxmlformats.org/officeDocument/2006/relationships/hyperlink" Target="https://xbrl.efrag.org/e-esrs/2024-12-17-efrag-vsme.xhtml" TargetMode="External"/><Relationship Id="rId14" Type="http://schemas.openxmlformats.org/officeDocument/2006/relationships/hyperlink" Target="https://xbrl.efrag.org/e-esrs/2024-12-17-efrag-vsme.xhtml" TargetMode="External"/><Relationship Id="rId22" Type="http://schemas.openxmlformats.org/officeDocument/2006/relationships/hyperlink" Target="https://xbrl.efrag.org/e-esrs/2024-12-17-efrag-vsme.xhtml" TargetMode="External"/><Relationship Id="rId27" Type="http://schemas.openxmlformats.org/officeDocument/2006/relationships/hyperlink" Target="https://xbrl.efrag.org/e-esrs/2024-12-17-efrag-vsme.xhtml" TargetMode="External"/><Relationship Id="rId30" Type="http://schemas.openxmlformats.org/officeDocument/2006/relationships/hyperlink" Target="https://xbrl.efrag.org/e-esrs/2024-12-17-efrag-vsme.xhtml" TargetMode="External"/><Relationship Id="rId35" Type="http://schemas.openxmlformats.org/officeDocument/2006/relationships/hyperlink" Target="https://xbrl.efrag.org/e-esrs/2024-12-17-efrag-vsme.xhtml" TargetMode="External"/><Relationship Id="rId43" Type="http://schemas.openxmlformats.org/officeDocument/2006/relationships/hyperlink" Target="https://xbrl.efrag.org/e-esrs/2024-12-17-efrag-vsme.xhtml" TargetMode="External"/><Relationship Id="rId48" Type="http://schemas.openxmlformats.org/officeDocument/2006/relationships/hyperlink" Target="https://xbrl.efrag.org/e-esrs/2024-12-17-efrag-vsme.xhtml" TargetMode="External"/><Relationship Id="rId56" Type="http://schemas.openxmlformats.org/officeDocument/2006/relationships/hyperlink" Target="https://xbrl.efrag.org/e-esrs/2024-12-17-efrag-vsme.xhtml" TargetMode="External"/><Relationship Id="rId64" Type="http://schemas.openxmlformats.org/officeDocument/2006/relationships/drawing" Target="../drawings/drawing5.xml"/><Relationship Id="rId8" Type="http://schemas.openxmlformats.org/officeDocument/2006/relationships/hyperlink" Target="https://xbrl.efrag.org/e-esrs/2024-12-17-efrag-vsme.xhtml" TargetMode="External"/><Relationship Id="rId51" Type="http://schemas.openxmlformats.org/officeDocument/2006/relationships/hyperlink" Target="https://xbrl.efrag.org/e-esrs/2024-12-17-efrag-vsme.xhtml" TargetMode="External"/><Relationship Id="rId3" Type="http://schemas.openxmlformats.org/officeDocument/2006/relationships/hyperlink" Target="https://xbrl.efrag.org/e-esrs/2024-12-17-efrag-vsme.xhtml" TargetMode="External"/><Relationship Id="rId12" Type="http://schemas.openxmlformats.org/officeDocument/2006/relationships/hyperlink" Target="https://xbrl.efrag.org/e-esrs/2024-12-17-efrag-vsme.xhtml" TargetMode="External"/><Relationship Id="rId17" Type="http://schemas.openxmlformats.org/officeDocument/2006/relationships/hyperlink" Target="https://xbrl.efrag.org/e-esrs/2024-12-17-efrag-vsme.xhtml" TargetMode="External"/><Relationship Id="rId25" Type="http://schemas.openxmlformats.org/officeDocument/2006/relationships/hyperlink" Target="https://xbrl.efrag.org/e-esrs/2024-12-17-efrag-vsme.xhtml" TargetMode="External"/><Relationship Id="rId33" Type="http://schemas.openxmlformats.org/officeDocument/2006/relationships/hyperlink" Target="https://xbrl.efrag.org/e-esrs/2024-12-17-efrag-vsme.xhtml" TargetMode="External"/><Relationship Id="rId38" Type="http://schemas.openxmlformats.org/officeDocument/2006/relationships/hyperlink" Target="https://xbrl.efrag.org/e-esrs/2024-12-17-efrag-vsme.xhtml" TargetMode="External"/><Relationship Id="rId46" Type="http://schemas.openxmlformats.org/officeDocument/2006/relationships/hyperlink" Target="https://xbrl.efrag.org/e-esrs/2024-12-17-efrag-vsme.xhtml" TargetMode="External"/><Relationship Id="rId59" Type="http://schemas.openxmlformats.org/officeDocument/2006/relationships/hyperlink" Target="https://xbrl.efrag.org/e-esrs/2024-12-17-efrag-vsme.xhtml" TargetMode="External"/><Relationship Id="rId20" Type="http://schemas.openxmlformats.org/officeDocument/2006/relationships/hyperlink" Target="https://xbrl.efrag.org/e-esrs/2024-12-17-efrag-vsme.xhtml" TargetMode="External"/><Relationship Id="rId41" Type="http://schemas.openxmlformats.org/officeDocument/2006/relationships/hyperlink" Target="https://xbrl.efrag.org/e-esrs/2024-12-17-efrag-vsme.xhtml" TargetMode="External"/><Relationship Id="rId54" Type="http://schemas.openxmlformats.org/officeDocument/2006/relationships/hyperlink" Target="https://xbrl.efrag.org/e-esrs/2024-12-17-efrag-vsme.xhtml" TargetMode="External"/><Relationship Id="rId62" Type="http://schemas.openxmlformats.org/officeDocument/2006/relationships/hyperlink" Target="https://xbrl.efrag.org/e-esrs/2024-12-17-efrag-vsme.xhtml"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esrs/2024-12-17-efrag-vsme.xhtml" TargetMode="External"/><Relationship Id="rId15" Type="http://schemas.openxmlformats.org/officeDocument/2006/relationships/hyperlink" Target="https://xbrl.efrag.org/e-esrs/2024-12-17-efrag-vsme.xhtml" TargetMode="External"/><Relationship Id="rId23" Type="http://schemas.openxmlformats.org/officeDocument/2006/relationships/hyperlink" Target="https://xbrl.efrag.org/e-esrs/2024-12-17-efrag-vsme.xhtml" TargetMode="External"/><Relationship Id="rId28" Type="http://schemas.openxmlformats.org/officeDocument/2006/relationships/hyperlink" Target="https://xbrl.efrag.org/e-esrs/2024-12-17-efrag-vsme.xhtml" TargetMode="External"/><Relationship Id="rId36" Type="http://schemas.openxmlformats.org/officeDocument/2006/relationships/hyperlink" Target="https://xbrl.efrag.org/e-esrs/2024-12-17-efrag-vsme.xhtml" TargetMode="External"/><Relationship Id="rId49" Type="http://schemas.openxmlformats.org/officeDocument/2006/relationships/hyperlink" Target="https://xbrl.efrag.org/e-esrs/2024-12-17-efrag-vsme.xhtml" TargetMode="External"/><Relationship Id="rId57" Type="http://schemas.openxmlformats.org/officeDocument/2006/relationships/hyperlink" Target="https://xbrl.efrag.org/e-esrs/2024-12-17-efrag-vsme.xhtml" TargetMode="External"/><Relationship Id="rId10" Type="http://schemas.openxmlformats.org/officeDocument/2006/relationships/hyperlink" Target="https://xbrl.efrag.org/e-esrs/2024-12-17-efrag-vsme.xhtml" TargetMode="External"/><Relationship Id="rId31" Type="http://schemas.openxmlformats.org/officeDocument/2006/relationships/hyperlink" Target="https://xbrl.efrag.org/e-esrs/2024-12-17-efrag-vsme.xhtml" TargetMode="External"/><Relationship Id="rId44" Type="http://schemas.openxmlformats.org/officeDocument/2006/relationships/hyperlink" Target="https://xbrl.efrag.org/e-esrs/2024-12-17-efrag-vsme.xhtml" TargetMode="External"/><Relationship Id="rId52" Type="http://schemas.openxmlformats.org/officeDocument/2006/relationships/hyperlink" Target="https://xbrl.efrag.org/e-esrs/2024-12-17-efrag-vsme.xhtml" TargetMode="External"/><Relationship Id="rId60" Type="http://schemas.openxmlformats.org/officeDocument/2006/relationships/hyperlink" Target="https://xbrl.efrag.org/e-esrs/2024-12-17-efrag-vsme.xhtml" TargetMode="External"/><Relationship Id="rId4" Type="http://schemas.openxmlformats.org/officeDocument/2006/relationships/hyperlink" Target="https://xbrl.efrag.org/e-esrs/2024-12-17-efrag-vsme.xhtml" TargetMode="External"/><Relationship Id="rId9" Type="http://schemas.openxmlformats.org/officeDocument/2006/relationships/hyperlink" Target="https://xbrl.efrag.org/e-esrs/2024-12-17-efrag-vsme.xhtml"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8" Type="http://schemas.openxmlformats.org/officeDocument/2006/relationships/hyperlink" Target="chrome-extension://efaidnbmnnnibpcajpcglclefindmkaj/https:/www.bhel.com/sites/default/files/gas-properties-cog-1580716150.pdf" TargetMode="External"/><Relationship Id="rId13" Type="http://schemas.openxmlformats.org/officeDocument/2006/relationships/hyperlink" Target="https://osf.io/s2qbt" TargetMode="External"/><Relationship Id="rId18" Type="http://schemas.openxmlformats.org/officeDocument/2006/relationships/hyperlink" Target="http://www.ipcc-nggip.iges.or.jp/efdb/find_ef_ft.php" TargetMode="External"/><Relationship Id="rId3" Type="http://schemas.openxmlformats.org/officeDocument/2006/relationships/hyperlink" Target="https://atdmco.com/wiki-density-of-bitumen/" TargetMode="External"/><Relationship Id="rId21" Type="http://schemas.openxmlformats.org/officeDocument/2006/relationships/hyperlink" Target="https://www.engineeringtoolbox.com/fuels-higher-calorific-values-d_169.html" TargetMode="External"/><Relationship Id="rId7" Type="http://schemas.openxmlformats.org/officeDocument/2006/relationships/hyperlink" Target="https://op.europa.eu/en/publication-detail/-/publication/eaa047e8-644c-4149-bdcb-9dde79c64a12" TargetMode="External"/><Relationship Id="rId12" Type="http://schemas.openxmlformats.org/officeDocument/2006/relationships/hyperlink" Target="https://www.researchgate.net/figure/Density-and-viscosity-of-shale-oil-in-Lucaogou-Formation-Jimsar-Sag_tbl1_336793871" TargetMode="External"/><Relationship Id="rId17" Type="http://schemas.openxmlformats.org/officeDocument/2006/relationships/hyperlink" Target="https://eippcb.jrc.ec.europa.eu/sites/default/files/2020-03/superseded_ref_bref-0203.pdf" TargetMode="External"/><Relationship Id="rId25" Type="http://schemas.openxmlformats.org/officeDocument/2006/relationships/printerSettings" Target="../printerSettings/printerSettings6.bin"/><Relationship Id="rId2" Type="http://schemas.openxmlformats.org/officeDocument/2006/relationships/hyperlink" Target="https://www.engineeringtoolbox.com/gasoline-density-specific-heat-dynamic-kinematic-viscosity-thermal-conductivity-vs-temperature-d_2224.html" TargetMode="External"/><Relationship Id="rId16" Type="http://schemas.openxmlformats.org/officeDocument/2006/relationships/hyperlink" Target="https://www.engineeringtoolbox.com/propane-C3H8-density-specific-weight-temperature-pressure-d_2033.html?vA=15&amp;degree" TargetMode="External"/><Relationship Id="rId20" Type="http://schemas.openxmlformats.org/officeDocument/2006/relationships/hyperlink" Target="https://iopscience.iop.org/article/10.1088/1757-899X/912/4/042075" TargetMode="External"/><Relationship Id="rId1" Type="http://schemas.openxmlformats.org/officeDocument/2006/relationships/hyperlink" Target="chrome-extension://efaidnbmnnnibpcajpcglclefindmkaj/https:/cdn.cdp.net/cdp-production/cms/guidance_docs/pdfs/000/000/477/original/CDP-Conversion-of-fuel-data-to-MWh.pdf?1479755175" TargetMode="External"/><Relationship Id="rId6" Type="http://schemas.openxmlformats.org/officeDocument/2006/relationships/hyperlink" Target="http://cyyenergy.com/en/Products/info_itemid_138.html" TargetMode="External"/><Relationship Id="rId11" Type="http://schemas.openxmlformats.org/officeDocument/2006/relationships/hyperlink" Target="https://eur-lex.europa.eu/eli/reg_impl/2018/2066/oj/eng" TargetMode="External"/><Relationship Id="rId24" Type="http://schemas.openxmlformats.org/officeDocument/2006/relationships/hyperlink" Target="https://www.shell.com/business-customers/chemicals/our-products/solvents-hydrocarbon/special-boiling-point-solvents/sbp-140-165.html." TargetMode="External"/><Relationship Id="rId5" Type="http://schemas.openxmlformats.org/officeDocument/2006/relationships/hyperlink" Target="https://www.energuide.be/en/questions-answers/what-is-the-calorific-value-of-gas/9655/" TargetMode="External"/><Relationship Id="rId15" Type="http://schemas.openxmlformats.org/officeDocument/2006/relationships/hyperlink" Target="https://op.europa.eu/en/publication-detail/-/publication/eaa047e8-644c-4149-bdcb-9dde79c64a12" TargetMode="External"/><Relationship Id="rId23" Type="http://schemas.openxmlformats.org/officeDocument/2006/relationships/hyperlink" Target="https://www.mdpi.com/2673-5628/5/1/6;" TargetMode="External"/><Relationship Id="rId10" Type="http://schemas.openxmlformats.org/officeDocument/2006/relationships/hyperlink" Target="https://www.exxonmobil.com/en-bd/commercial-fuel/pds/gl-xx-jetfuel-series" TargetMode="External"/><Relationship Id="rId19" Type="http://schemas.openxmlformats.org/officeDocument/2006/relationships/hyperlink" Target="https://captainslog.gr/wp-content/uploads/2020/12/Sulphite-Lye-Cafn.pdf" TargetMode="External"/><Relationship Id="rId4" Type="http://schemas.openxmlformats.org/officeDocument/2006/relationships/hyperlink" Target="https://engineeringtoolbox.com/gas-density-d_158.html" TargetMode="External"/><Relationship Id="rId9" Type="http://schemas.openxmlformats.org/officeDocument/2006/relationships/hyperlink" Target="https://www.engineeringtoolbox.com/fuels-densities-specific-volumes-d_166.html" TargetMode="External"/><Relationship Id="rId14" Type="http://schemas.openxmlformats.org/officeDocument/2006/relationships/hyperlink" Target="https://archive.epa.gov/emergencies/content/fss/web/pdf/orimuls.pdf" TargetMode="External"/><Relationship Id="rId22" Type="http://schemas.openxmlformats.org/officeDocument/2006/relationships/hyperlink" Target="https://ehs.cranesville.com/msds.pdfs/MSDS(U003).pdf"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3BA08-EB56-4E4C-B440-D54FA8F7DF57}">
  <sheetPr codeName="Sheet1"/>
  <dimension ref="A1:R41"/>
  <sheetViews>
    <sheetView showGridLines="0" tabSelected="1" zoomScaleNormal="100" workbookViewId="0">
      <selection activeCell="C1" sqref="C1"/>
    </sheetView>
  </sheetViews>
  <sheetFormatPr baseColWidth="10" defaultColWidth="9" defaultRowHeight="14.5" x14ac:dyDescent="0.35"/>
  <cols>
    <col min="1" max="1" width="6" customWidth="1"/>
    <col min="2" max="2" width="56" customWidth="1"/>
    <col min="3" max="3" width="56.08984375" customWidth="1"/>
    <col min="4" max="4" width="69.36328125" customWidth="1"/>
    <col min="5" max="5" width="33.453125" customWidth="1"/>
    <col min="6" max="6" width="42.36328125" bestFit="1" customWidth="1"/>
    <col min="7" max="7" width="43.453125" bestFit="1" customWidth="1"/>
    <col min="8" max="8" width="48.81640625" bestFit="1" customWidth="1"/>
    <col min="9" max="9" width="38.453125" customWidth="1"/>
    <col min="10" max="10" width="45.54296875" customWidth="1"/>
    <col min="11" max="11" width="29" customWidth="1"/>
    <col min="12" max="12" width="32.453125" customWidth="1"/>
    <col min="13" max="13" width="29.453125" customWidth="1"/>
    <col min="14" max="14" width="21.453125" bestFit="1" customWidth="1"/>
    <col min="15" max="15" width="11.453125" customWidth="1"/>
    <col min="16" max="16" width="20.453125" bestFit="1" customWidth="1"/>
    <col min="17" max="17" width="14.453125" customWidth="1"/>
    <col min="18" max="18" width="14" bestFit="1" customWidth="1"/>
    <col min="21" max="23" width="20.453125" bestFit="1" customWidth="1"/>
  </cols>
  <sheetData>
    <row r="1" spans="2:18" x14ac:dyDescent="0.35">
      <c r="B1" s="330" t="s">
        <v>3977</v>
      </c>
      <c r="C1" s="330" t="s">
        <v>3904</v>
      </c>
      <c r="D1" s="330"/>
    </row>
    <row r="2" spans="2:18" x14ac:dyDescent="0.35">
      <c r="B2" s="330" t="s">
        <v>3978</v>
      </c>
      <c r="C2" s="331">
        <v>45804</v>
      </c>
      <c r="D2" s="330"/>
    </row>
    <row r="4" spans="2:18" x14ac:dyDescent="0.35">
      <c r="B4" s="332"/>
    </row>
    <row r="5" spans="2:18" x14ac:dyDescent="0.35">
      <c r="B5" s="332"/>
    </row>
    <row r="6" spans="2:18" x14ac:dyDescent="0.35">
      <c r="B6" s="332"/>
    </row>
    <row r="7" spans="2:18" x14ac:dyDescent="0.35">
      <c r="B7" s="332"/>
    </row>
    <row r="8" spans="2:18" x14ac:dyDescent="0.35">
      <c r="B8" s="332"/>
    </row>
    <row r="9" spans="2:18" x14ac:dyDescent="0.35">
      <c r="B9" s="87" t="s">
        <v>3979</v>
      </c>
      <c r="C9" s="333" t="s">
        <v>3893</v>
      </c>
    </row>
    <row r="10" spans="2:18" s="335" customFormat="1" ht="62.5" x14ac:dyDescent="1.4">
      <c r="B10" s="334" t="s">
        <v>3980</v>
      </c>
    </row>
    <row r="11" spans="2:18" ht="369" customHeight="1" x14ac:dyDescent="0.35">
      <c r="B11" s="466" t="s">
        <v>4877</v>
      </c>
      <c r="C11" s="467"/>
      <c r="D11" s="467"/>
      <c r="E11" s="468"/>
      <c r="F11" s="336"/>
      <c r="G11" s="336"/>
      <c r="H11" s="336"/>
      <c r="I11" s="336"/>
      <c r="J11" s="336"/>
      <c r="K11" s="336"/>
      <c r="L11" s="336"/>
      <c r="M11" s="336"/>
      <c r="N11" s="336"/>
      <c r="O11" s="336"/>
      <c r="P11" s="336"/>
      <c r="Q11" s="336"/>
      <c r="R11" s="336"/>
    </row>
    <row r="12" spans="2:18" ht="19.899999999999999" customHeight="1" x14ac:dyDescent="0.35">
      <c r="B12" s="337"/>
      <c r="C12" s="337"/>
      <c r="D12" s="337"/>
      <c r="E12" s="337"/>
      <c r="F12" s="336"/>
      <c r="G12" s="336"/>
      <c r="H12" s="336"/>
      <c r="I12" s="336"/>
      <c r="J12" s="336"/>
      <c r="K12" s="336"/>
      <c r="L12" s="336"/>
      <c r="M12" s="336"/>
      <c r="N12" s="336"/>
      <c r="O12" s="336"/>
      <c r="P12" s="336"/>
      <c r="Q12" s="336"/>
      <c r="R12" s="336"/>
    </row>
    <row r="13" spans="2:18" x14ac:dyDescent="0.35">
      <c r="B13" s="332"/>
    </row>
    <row r="14" spans="2:18" ht="26.65" customHeight="1" x14ac:dyDescent="0.5">
      <c r="B14" s="338" t="s">
        <v>3981</v>
      </c>
      <c r="C14" s="339"/>
      <c r="D14" s="339"/>
      <c r="E14" s="340"/>
      <c r="F14" s="341"/>
      <c r="G14" s="341"/>
      <c r="H14" s="341"/>
      <c r="I14" s="341"/>
      <c r="J14" s="341"/>
      <c r="K14" s="341"/>
      <c r="L14" s="341"/>
      <c r="M14" s="341"/>
      <c r="N14" s="341"/>
      <c r="O14" s="341"/>
      <c r="P14" s="341"/>
      <c r="Q14" s="341"/>
      <c r="R14" s="341"/>
    </row>
    <row r="15" spans="2:18" ht="18.5" x14ac:dyDescent="0.35">
      <c r="B15" s="469" t="s">
        <v>3982</v>
      </c>
      <c r="C15" s="470"/>
      <c r="D15" s="470"/>
      <c r="E15" s="471"/>
      <c r="F15" s="342"/>
      <c r="G15" s="342"/>
      <c r="H15" s="342"/>
      <c r="I15" s="342"/>
      <c r="J15" s="342"/>
      <c r="K15" s="342"/>
      <c r="L15" s="342"/>
      <c r="M15" s="342"/>
      <c r="N15" s="342"/>
      <c r="O15" s="342"/>
      <c r="P15" s="342"/>
      <c r="Q15" s="342"/>
      <c r="R15" s="342"/>
    </row>
    <row r="16" spans="2:18" ht="36.65" customHeight="1" x14ac:dyDescent="0.35">
      <c r="B16" s="469" t="s">
        <v>3983</v>
      </c>
      <c r="C16" s="470"/>
      <c r="D16" s="470"/>
      <c r="E16" s="471"/>
      <c r="F16" s="342"/>
      <c r="G16" s="342"/>
      <c r="H16" s="342"/>
      <c r="I16" s="342"/>
      <c r="J16" s="342"/>
      <c r="K16" s="342"/>
      <c r="L16" s="342"/>
      <c r="M16" s="342"/>
      <c r="N16" s="342"/>
      <c r="O16" s="342"/>
      <c r="P16" s="342"/>
      <c r="Q16" s="342"/>
      <c r="R16" s="342"/>
    </row>
    <row r="17" spans="1:18" ht="39.65" customHeight="1" x14ac:dyDescent="0.35">
      <c r="B17" s="493" t="s">
        <v>4762</v>
      </c>
      <c r="C17" s="494"/>
      <c r="D17" s="494"/>
      <c r="E17" s="495"/>
      <c r="F17" s="343"/>
      <c r="G17" s="343"/>
      <c r="H17" s="343"/>
      <c r="I17" s="343"/>
      <c r="J17" s="343"/>
      <c r="K17" s="343"/>
      <c r="L17" s="343"/>
      <c r="M17" s="343"/>
      <c r="N17" s="343"/>
      <c r="O17" s="343"/>
      <c r="P17" s="343"/>
      <c r="Q17" s="343"/>
      <c r="R17" s="343"/>
    </row>
    <row r="18" spans="1:18" ht="36" customHeight="1" x14ac:dyDescent="0.35">
      <c r="B18" s="496" t="s">
        <v>4872</v>
      </c>
      <c r="C18" s="497"/>
      <c r="D18" s="497"/>
      <c r="E18" s="498"/>
      <c r="F18" s="343"/>
      <c r="G18" s="343"/>
      <c r="H18" s="343"/>
      <c r="I18" s="343"/>
      <c r="J18" s="343"/>
      <c r="K18" s="343"/>
      <c r="L18" s="343"/>
      <c r="M18" s="343"/>
      <c r="N18" s="343"/>
      <c r="O18" s="343"/>
      <c r="P18" s="343"/>
      <c r="Q18" s="343"/>
      <c r="R18" s="343"/>
    </row>
    <row r="19" spans="1:18" s="344" customFormat="1" ht="20.149999999999999" customHeight="1" x14ac:dyDescent="0.35">
      <c r="B19" s="496" t="s">
        <v>4873</v>
      </c>
      <c r="C19" s="497"/>
      <c r="D19" s="497"/>
      <c r="E19" s="498"/>
      <c r="F19" s="343"/>
      <c r="G19" s="343"/>
      <c r="H19" s="343"/>
      <c r="I19" s="343"/>
      <c r="J19" s="343"/>
      <c r="K19" s="343"/>
      <c r="L19" s="343"/>
      <c r="M19" s="343"/>
      <c r="N19" s="343"/>
      <c r="O19" s="343"/>
      <c r="P19" s="343"/>
      <c r="Q19" s="343"/>
      <c r="R19" s="343"/>
    </row>
    <row r="20" spans="1:18" ht="20.149999999999999" customHeight="1" x14ac:dyDescent="0.35">
      <c r="B20" s="496" t="s">
        <v>4874</v>
      </c>
      <c r="C20" s="497"/>
      <c r="D20" s="497"/>
      <c r="E20" s="498"/>
      <c r="F20" s="343"/>
      <c r="G20" s="343"/>
      <c r="H20" s="343"/>
      <c r="I20" s="343"/>
      <c r="J20" s="343"/>
      <c r="K20" s="343"/>
      <c r="L20" s="343"/>
      <c r="M20" s="343"/>
      <c r="N20" s="343"/>
      <c r="O20" s="343"/>
      <c r="P20" s="343"/>
      <c r="Q20" s="343"/>
      <c r="R20" s="343"/>
    </row>
    <row r="21" spans="1:18" ht="20.149999999999999" customHeight="1" x14ac:dyDescent="0.35">
      <c r="B21" s="481" t="s">
        <v>4875</v>
      </c>
      <c r="C21" s="482"/>
      <c r="D21" s="482"/>
      <c r="E21" s="483"/>
      <c r="F21" s="343"/>
      <c r="G21" s="343"/>
      <c r="H21" s="343"/>
      <c r="I21" s="343"/>
      <c r="J21" s="343"/>
      <c r="K21" s="343"/>
      <c r="L21" s="343"/>
      <c r="M21" s="343"/>
      <c r="N21" s="343"/>
      <c r="O21" s="343"/>
      <c r="P21" s="343"/>
      <c r="Q21" s="343"/>
      <c r="R21" s="343"/>
    </row>
    <row r="22" spans="1:18" ht="18.5" x14ac:dyDescent="0.45">
      <c r="B22" s="341"/>
      <c r="C22" s="341"/>
      <c r="D22" s="341"/>
      <c r="E22" s="341"/>
      <c r="F22" s="341"/>
      <c r="G22" s="341"/>
      <c r="H22" s="341"/>
      <c r="I22" s="341"/>
      <c r="J22" s="341"/>
      <c r="K22" s="341"/>
      <c r="L22" s="341"/>
      <c r="M22" s="341"/>
      <c r="N22" s="341"/>
      <c r="O22" s="341"/>
      <c r="P22" s="341"/>
      <c r="Q22" s="341"/>
      <c r="R22" s="341"/>
    </row>
    <row r="23" spans="1:18" ht="36" customHeight="1" x14ac:dyDescent="0.45">
      <c r="B23" s="345" t="s">
        <v>3984</v>
      </c>
      <c r="C23" s="341"/>
      <c r="D23" s="341"/>
      <c r="E23" s="341"/>
      <c r="F23" s="341"/>
      <c r="G23" s="341"/>
      <c r="H23" s="341"/>
      <c r="I23" s="341"/>
      <c r="J23" s="341"/>
      <c r="K23" s="341"/>
      <c r="L23" s="341"/>
      <c r="M23" s="341"/>
      <c r="N23" s="341"/>
      <c r="O23" s="341"/>
      <c r="P23" s="341"/>
      <c r="Q23" s="341"/>
      <c r="R23" s="341"/>
    </row>
    <row r="24" spans="1:18" ht="32.15" customHeight="1" x14ac:dyDescent="0.45">
      <c r="B24" s="346" t="s">
        <v>3985</v>
      </c>
      <c r="C24" s="478" t="s">
        <v>3988</v>
      </c>
      <c r="D24" s="479"/>
      <c r="E24" s="480"/>
      <c r="F24" s="341"/>
      <c r="G24" s="341"/>
      <c r="H24" s="341"/>
      <c r="I24" s="341"/>
      <c r="J24" s="341"/>
      <c r="K24" s="341"/>
      <c r="L24" s="341"/>
      <c r="M24" s="341"/>
      <c r="N24" s="341"/>
      <c r="O24" s="341"/>
      <c r="P24" s="341"/>
      <c r="Q24" s="341"/>
      <c r="R24" s="341"/>
    </row>
    <row r="25" spans="1:18" ht="34.5" customHeight="1" x14ac:dyDescent="0.45">
      <c r="A25" s="347"/>
      <c r="B25" s="348" t="s">
        <v>3986</v>
      </c>
      <c r="C25" s="478" t="s">
        <v>4790</v>
      </c>
      <c r="D25" s="479"/>
      <c r="E25" s="480"/>
      <c r="F25" s="341"/>
      <c r="G25" s="349"/>
      <c r="H25" s="349"/>
      <c r="I25" s="349"/>
      <c r="J25" s="349"/>
      <c r="K25" s="349"/>
      <c r="L25" s="349"/>
      <c r="M25" s="349"/>
      <c r="N25" s="349"/>
      <c r="O25" s="349"/>
      <c r="P25" s="349"/>
      <c r="Q25" s="349"/>
      <c r="R25" s="349"/>
    </row>
    <row r="26" spans="1:18" ht="35.65" customHeight="1" x14ac:dyDescent="0.45">
      <c r="A26" s="347"/>
      <c r="B26" s="350" t="s">
        <v>3987</v>
      </c>
      <c r="C26" s="478" t="s">
        <v>4791</v>
      </c>
      <c r="D26" s="479"/>
      <c r="E26" s="480"/>
      <c r="F26" s="341"/>
      <c r="G26" s="349"/>
      <c r="H26" s="349"/>
      <c r="I26" s="349"/>
      <c r="J26" s="349"/>
      <c r="K26" s="349"/>
      <c r="L26" s="349"/>
      <c r="M26" s="349"/>
      <c r="N26" s="349"/>
      <c r="O26" s="349"/>
      <c r="P26" s="349"/>
      <c r="Q26" s="349"/>
      <c r="R26" s="349"/>
    </row>
    <row r="27" spans="1:18" ht="35.9" customHeight="1" x14ac:dyDescent="0.45">
      <c r="A27" s="347"/>
      <c r="B27" s="351"/>
      <c r="C27" s="472" t="s">
        <v>4792</v>
      </c>
      <c r="D27" s="473"/>
      <c r="E27" s="474"/>
      <c r="F27" s="341"/>
      <c r="G27" s="352"/>
      <c r="H27" s="352"/>
      <c r="I27" s="352"/>
      <c r="J27" s="352"/>
      <c r="K27" s="352"/>
      <c r="L27" s="352"/>
      <c r="M27" s="352"/>
      <c r="N27" s="352"/>
      <c r="O27" s="352"/>
      <c r="P27" s="352"/>
      <c r="Q27" s="352"/>
      <c r="R27" s="352"/>
    </row>
    <row r="28" spans="1:18" ht="63" customHeight="1" x14ac:dyDescent="0.45">
      <c r="A28" s="347"/>
      <c r="B28" s="353"/>
      <c r="C28" s="472" t="s">
        <v>4878</v>
      </c>
      <c r="D28" s="473"/>
      <c r="E28" s="474"/>
      <c r="F28" s="341"/>
      <c r="G28" s="352"/>
      <c r="H28" s="352"/>
      <c r="I28" s="352"/>
      <c r="J28" s="352"/>
      <c r="K28" s="352"/>
      <c r="L28" s="352"/>
      <c r="M28" s="352"/>
      <c r="N28" s="352"/>
      <c r="O28" s="352"/>
      <c r="P28" s="352"/>
      <c r="Q28" s="352"/>
      <c r="R28" s="352"/>
    </row>
    <row r="29" spans="1:18" ht="35.9" customHeight="1" x14ac:dyDescent="0.45">
      <c r="A29" s="347"/>
      <c r="B29" s="354"/>
      <c r="C29" s="472" t="s">
        <v>4870</v>
      </c>
      <c r="D29" s="473"/>
      <c r="E29" s="474"/>
      <c r="F29" s="341"/>
      <c r="G29" s="352"/>
      <c r="H29" s="352"/>
      <c r="I29" s="352"/>
      <c r="J29" s="352"/>
      <c r="K29" s="352"/>
      <c r="L29" s="352"/>
      <c r="M29" s="352"/>
      <c r="N29" s="352"/>
      <c r="O29" s="352"/>
      <c r="P29" s="352"/>
      <c r="Q29" s="352"/>
      <c r="R29" s="352"/>
    </row>
    <row r="30" spans="1:18" ht="63" x14ac:dyDescent="0.45">
      <c r="B30" s="355" t="s">
        <v>4092</v>
      </c>
      <c r="C30" s="475" t="s">
        <v>4793</v>
      </c>
      <c r="D30" s="476"/>
      <c r="E30" s="477"/>
      <c r="F30" s="341"/>
      <c r="G30" s="349"/>
      <c r="H30" s="349"/>
      <c r="I30" s="349"/>
      <c r="J30" s="349"/>
      <c r="K30" s="349"/>
      <c r="L30" s="349"/>
      <c r="M30" s="349"/>
      <c r="N30" s="349"/>
      <c r="O30" s="349"/>
      <c r="P30" s="349"/>
      <c r="Q30" s="349"/>
      <c r="R30" s="349"/>
    </row>
    <row r="31" spans="1:18" ht="22.4" customHeight="1" x14ac:dyDescent="0.45">
      <c r="B31" s="356" t="s">
        <v>2963</v>
      </c>
      <c r="C31" s="478" t="s">
        <v>4763</v>
      </c>
      <c r="D31" s="479"/>
      <c r="E31" s="480"/>
      <c r="F31" s="341"/>
      <c r="G31" s="349"/>
      <c r="H31" s="349"/>
      <c r="I31" s="349"/>
      <c r="J31" s="349"/>
      <c r="K31" s="349"/>
      <c r="L31" s="349"/>
      <c r="M31" s="349"/>
      <c r="N31" s="349"/>
      <c r="O31" s="349"/>
      <c r="P31" s="349"/>
      <c r="Q31" s="349"/>
      <c r="R31" s="349"/>
    </row>
    <row r="32" spans="1:18" ht="22.4" customHeight="1" x14ac:dyDescent="0.45">
      <c r="B32" s="357"/>
      <c r="C32" s="478" t="s">
        <v>3989</v>
      </c>
      <c r="D32" s="479"/>
      <c r="E32" s="480"/>
      <c r="F32" s="341"/>
      <c r="G32" s="349"/>
      <c r="H32" s="349"/>
      <c r="I32" s="349"/>
      <c r="J32" s="349"/>
      <c r="K32" s="349"/>
      <c r="L32" s="349"/>
      <c r="M32" s="349"/>
      <c r="N32" s="349"/>
      <c r="O32" s="349"/>
      <c r="P32" s="349"/>
      <c r="Q32" s="349"/>
      <c r="R32" s="349"/>
    </row>
    <row r="33" spans="1:18" ht="45.75" customHeight="1" x14ac:dyDescent="0.45">
      <c r="A33" s="347"/>
      <c r="B33" s="358" t="s">
        <v>2962</v>
      </c>
      <c r="C33" s="475" t="s">
        <v>4871</v>
      </c>
      <c r="D33" s="476"/>
      <c r="E33" s="477"/>
      <c r="F33" s="341"/>
      <c r="G33" s="359"/>
      <c r="H33" s="359"/>
      <c r="I33" s="359"/>
      <c r="J33" s="359"/>
      <c r="K33" s="359"/>
      <c r="L33" s="359"/>
      <c r="M33" s="359"/>
      <c r="N33" s="359"/>
      <c r="O33" s="359"/>
      <c r="P33" s="359"/>
      <c r="Q33" s="359"/>
      <c r="R33" s="359"/>
    </row>
    <row r="38" spans="1:18" x14ac:dyDescent="0.35">
      <c r="B38" s="490"/>
      <c r="C38" s="491"/>
      <c r="D38" s="491"/>
      <c r="E38" s="492"/>
    </row>
    <row r="39" spans="1:18" ht="97.15" customHeight="1" x14ac:dyDescent="0.5">
      <c r="B39" s="487" t="s">
        <v>3990</v>
      </c>
      <c r="C39" s="488"/>
      <c r="D39" s="488"/>
      <c r="E39" s="489"/>
    </row>
    <row r="40" spans="1:18" ht="21" x14ac:dyDescent="0.5">
      <c r="B40" s="487" t="s">
        <v>4794</v>
      </c>
      <c r="C40" s="488"/>
      <c r="D40" s="488"/>
      <c r="E40" s="489"/>
    </row>
    <row r="41" spans="1:18" ht="21" x14ac:dyDescent="0.5">
      <c r="B41" s="484" t="s">
        <v>4879</v>
      </c>
      <c r="C41" s="485"/>
      <c r="D41" s="485"/>
      <c r="E41" s="486"/>
    </row>
  </sheetData>
  <sheetProtection formatColumns="0" formatRows="0"/>
  <mergeCells count="22">
    <mergeCell ref="B41:E41"/>
    <mergeCell ref="B39:E39"/>
    <mergeCell ref="B40:E40"/>
    <mergeCell ref="B38:E38"/>
    <mergeCell ref="B16:E16"/>
    <mergeCell ref="B17:E17"/>
    <mergeCell ref="B18:E18"/>
    <mergeCell ref="B19:E19"/>
    <mergeCell ref="B20:E20"/>
    <mergeCell ref="C28:E28"/>
    <mergeCell ref="C27:E27"/>
    <mergeCell ref="C24:E24"/>
    <mergeCell ref="C25:E25"/>
    <mergeCell ref="C26:E26"/>
    <mergeCell ref="B11:E11"/>
    <mergeCell ref="B15:E15"/>
    <mergeCell ref="C29:E29"/>
    <mergeCell ref="C33:E33"/>
    <mergeCell ref="C32:E32"/>
    <mergeCell ref="C31:E31"/>
    <mergeCell ref="C30:E30"/>
    <mergeCell ref="B21:E21"/>
  </mergeCells>
  <phoneticPr fontId="3" type="noConversion"/>
  <hyperlinks>
    <hyperlink ref="C9" r:id="rId1" xr:uid="{AABFD083-3482-44AD-A69D-BBC4CC1A3CDC}"/>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21D2C-71B4-4480-A729-841BC5CAD8C5}">
  <dimension ref="A1:A21"/>
  <sheetViews>
    <sheetView zoomScale="160" zoomScaleNormal="160" workbookViewId="0">
      <selection activeCell="A8" sqref="A8"/>
    </sheetView>
  </sheetViews>
  <sheetFormatPr baseColWidth="10" defaultColWidth="8.81640625" defaultRowHeight="14.5" x14ac:dyDescent="0.35"/>
  <cols>
    <col min="1" max="1" width="92.54296875" style="8" customWidth="1"/>
    <col min="2" max="16384" width="8.81640625" style="8"/>
  </cols>
  <sheetData>
    <row r="1" spans="1:1" x14ac:dyDescent="0.35">
      <c r="A1" s="245" t="s">
        <v>4347</v>
      </c>
    </row>
    <row r="2" spans="1:1" x14ac:dyDescent="0.35">
      <c r="A2" s="246"/>
    </row>
    <row r="3" spans="1:1" x14ac:dyDescent="0.35">
      <c r="A3" s="246" t="s">
        <v>3898</v>
      </c>
    </row>
    <row r="4" spans="1:1" x14ac:dyDescent="0.35">
      <c r="A4" s="246"/>
    </row>
    <row r="5" spans="1:1" x14ac:dyDescent="0.35">
      <c r="A5" s="246" t="s">
        <v>4860</v>
      </c>
    </row>
    <row r="6" spans="1:1" x14ac:dyDescent="0.35">
      <c r="A6" s="405" t="s">
        <v>4847</v>
      </c>
    </row>
    <row r="7" spans="1:1" x14ac:dyDescent="0.35">
      <c r="A7" s="246" t="s">
        <v>4861</v>
      </c>
    </row>
    <row r="8" spans="1:1" x14ac:dyDescent="0.35">
      <c r="A8" s="246" t="s">
        <v>4862</v>
      </c>
    </row>
    <row r="9" spans="1:1" x14ac:dyDescent="0.35">
      <c r="A9" s="246" t="s">
        <v>4863</v>
      </c>
    </row>
    <row r="10" spans="1:1" x14ac:dyDescent="0.35">
      <c r="A10" s="246" t="s">
        <v>4859</v>
      </c>
    </row>
    <row r="11" spans="1:1" x14ac:dyDescent="0.35">
      <c r="A11" s="246"/>
    </row>
    <row r="12" spans="1:1" x14ac:dyDescent="0.35">
      <c r="A12" s="246" t="s">
        <v>4787</v>
      </c>
    </row>
    <row r="13" spans="1:1" x14ac:dyDescent="0.35">
      <c r="A13" s="246" t="s">
        <v>4348</v>
      </c>
    </row>
    <row r="14" spans="1:1" x14ac:dyDescent="0.35">
      <c r="A14" s="246"/>
    </row>
    <row r="15" spans="1:1" x14ac:dyDescent="0.35">
      <c r="A15" s="243" t="s">
        <v>4848</v>
      </c>
    </row>
    <row r="16" spans="1:1" x14ac:dyDescent="0.35">
      <c r="A16" s="246" t="s">
        <v>4864</v>
      </c>
    </row>
    <row r="17" spans="1:1" x14ac:dyDescent="0.35">
      <c r="A17" s="246" t="s">
        <v>4865</v>
      </c>
    </row>
    <row r="18" spans="1:1" ht="29" x14ac:dyDescent="0.35">
      <c r="A18" s="405" t="s">
        <v>4866</v>
      </c>
    </row>
    <row r="19" spans="1:1" x14ac:dyDescent="0.35">
      <c r="A19" s="407" t="s">
        <v>4849</v>
      </c>
    </row>
    <row r="20" spans="1:1" x14ac:dyDescent="0.35">
      <c r="A20" s="246" t="s">
        <v>4867</v>
      </c>
    </row>
    <row r="21" spans="1:1" ht="15" thickBot="1" x14ac:dyDescent="0.4">
      <c r="A21" s="247" t="s">
        <v>4868</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7FC05-FF15-4F3B-A168-94BA93CE0D77}">
  <sheetPr codeName="Sheet9"/>
  <dimension ref="A1:AD1049"/>
  <sheetViews>
    <sheetView zoomScale="115" zoomScaleNormal="115" workbookViewId="0">
      <selection sqref="A1:XFD1"/>
    </sheetView>
  </sheetViews>
  <sheetFormatPr baseColWidth="10" defaultColWidth="9" defaultRowHeight="14.5" x14ac:dyDescent="0.35"/>
  <cols>
    <col min="1" max="1" width="94.08984375" customWidth="1"/>
    <col min="2" max="2" width="38.453125" bestFit="1" customWidth="1"/>
    <col min="3" max="3" width="123.36328125" customWidth="1"/>
    <col min="4" max="4" width="150.453125" bestFit="1" customWidth="1"/>
    <col min="5" max="5" width="49.453125" bestFit="1" customWidth="1"/>
    <col min="6" max="6" width="21.453125" bestFit="1" customWidth="1"/>
    <col min="7" max="7" width="21.453125" customWidth="1"/>
    <col min="8" max="8" width="92" bestFit="1" customWidth="1"/>
    <col min="9" max="9" width="49.453125" bestFit="1" customWidth="1"/>
    <col min="10" max="10" width="56.7265625" customWidth="1"/>
    <col min="11" max="11" width="99.54296875" customWidth="1"/>
    <col min="12" max="12" width="61.54296875" customWidth="1"/>
    <col min="13" max="13" width="20.453125" bestFit="1" customWidth="1"/>
    <col min="14" max="14" width="18" bestFit="1" customWidth="1"/>
    <col min="15" max="15" width="30.453125" bestFit="1" customWidth="1"/>
    <col min="16" max="16" width="26.453125" bestFit="1" customWidth="1"/>
    <col min="17" max="17" width="10.453125" customWidth="1"/>
    <col min="18" max="18" width="13.453125" bestFit="1" customWidth="1"/>
    <col min="20" max="20" width="9.54296875" bestFit="1" customWidth="1"/>
    <col min="21" max="21" width="43.36328125" bestFit="1" customWidth="1"/>
    <col min="22" max="22" width="70.7265625" customWidth="1"/>
    <col min="23" max="23" width="16.36328125" customWidth="1"/>
    <col min="25" max="25" width="31.453125" customWidth="1"/>
    <col min="26" max="26" width="138.36328125" customWidth="1"/>
    <col min="27" max="27" width="17.453125" customWidth="1"/>
    <col min="28" max="28" width="36.7265625" customWidth="1"/>
    <col min="29" max="29" width="23.26953125" customWidth="1"/>
    <col min="30" max="30" width="17.7265625" customWidth="1"/>
  </cols>
  <sheetData>
    <row r="1" spans="1:30" ht="130.5" x14ac:dyDescent="0.35">
      <c r="A1" s="319" t="s">
        <v>4754</v>
      </c>
      <c r="B1" s="320" t="s">
        <v>4755</v>
      </c>
      <c r="C1" s="320" t="s">
        <v>4756</v>
      </c>
      <c r="D1" s="320" t="s">
        <v>4757</v>
      </c>
      <c r="E1" s="5" t="s">
        <v>4354</v>
      </c>
      <c r="F1" s="5" t="s">
        <v>4534</v>
      </c>
      <c r="G1" s="5" t="s">
        <v>4535</v>
      </c>
      <c r="H1" s="5" t="s">
        <v>4853</v>
      </c>
      <c r="I1" s="406" t="s">
        <v>4876</v>
      </c>
      <c r="J1" s="302" t="s">
        <v>4856</v>
      </c>
      <c r="K1" s="302" t="s">
        <v>4638</v>
      </c>
      <c r="L1" s="5" t="s">
        <v>4056</v>
      </c>
      <c r="M1" s="5" t="s">
        <v>4149</v>
      </c>
      <c r="N1" s="5" t="s">
        <v>4641</v>
      </c>
      <c r="O1" s="5" t="s">
        <v>4644</v>
      </c>
      <c r="P1" s="5" t="s">
        <v>4645</v>
      </c>
      <c r="Q1" s="302" t="s">
        <v>4647</v>
      </c>
      <c r="R1" s="5" t="s">
        <v>2964</v>
      </c>
      <c r="S1" s="5" t="s">
        <v>4122</v>
      </c>
      <c r="T1" s="5" t="s">
        <v>4123</v>
      </c>
      <c r="U1" s="5" t="s">
        <v>4665</v>
      </c>
      <c r="V1" s="5" t="s">
        <v>4668</v>
      </c>
      <c r="W1" s="5" t="s">
        <v>4676</v>
      </c>
      <c r="X1" s="5" t="s">
        <v>4123</v>
      </c>
      <c r="Y1" s="321" t="s">
        <v>4669</v>
      </c>
      <c r="Z1" s="322" t="s">
        <v>4670</v>
      </c>
      <c r="AA1" s="321" t="s">
        <v>4675</v>
      </c>
      <c r="AB1" s="323" t="s">
        <v>4788</v>
      </c>
      <c r="AC1" s="9" t="s">
        <v>4672</v>
      </c>
      <c r="AD1" s="9" t="s">
        <v>4673</v>
      </c>
    </row>
    <row r="2" spans="1:30" x14ac:dyDescent="0.35">
      <c r="A2" s="324" t="s">
        <v>1</v>
      </c>
      <c r="B2" t="s">
        <v>2426</v>
      </c>
      <c r="C2" s="325" t="s">
        <v>3460</v>
      </c>
      <c r="D2" t="str">
        <f t="shared" ref="D2:D65" si="0">_xlfn.CONCAT("NACE ", A2)</f>
        <v>NACE All Economic Activities (NACE) / NA [member]</v>
      </c>
      <c r="E2" s="326" t="s">
        <v>4355</v>
      </c>
      <c r="F2" t="s">
        <v>2</v>
      </c>
      <c r="G2" t="str">
        <f>RIGHT(F2,2)</f>
        <v>AD</v>
      </c>
      <c r="H2" t="s">
        <v>4854</v>
      </c>
      <c r="I2" t="s">
        <v>4557</v>
      </c>
      <c r="J2" t="s">
        <v>4137</v>
      </c>
      <c r="K2" s="27" t="s">
        <v>2439</v>
      </c>
      <c r="L2" t="s">
        <v>4349</v>
      </c>
      <c r="M2" t="s">
        <v>4758</v>
      </c>
      <c r="N2" t="s">
        <v>4642</v>
      </c>
      <c r="O2" t="s">
        <v>4071</v>
      </c>
      <c r="P2" t="s">
        <v>3859</v>
      </c>
      <c r="Q2" t="s">
        <v>4648</v>
      </c>
      <c r="R2" t="s">
        <v>4650</v>
      </c>
      <c r="S2">
        <v>2000</v>
      </c>
      <c r="T2" t="s">
        <v>4653</v>
      </c>
      <c r="U2" t="s">
        <v>4666</v>
      </c>
      <c r="V2" t="s">
        <v>4536</v>
      </c>
      <c r="W2" s="327">
        <v>1</v>
      </c>
      <c r="X2" t="s">
        <v>4653</v>
      </c>
      <c r="Y2" t="s">
        <v>4639</v>
      </c>
      <c r="Z2" s="27" t="s">
        <v>2439</v>
      </c>
      <c r="AA2" t="s">
        <v>3290</v>
      </c>
      <c r="AB2" s="391" t="s">
        <v>4671</v>
      </c>
      <c r="AC2">
        <v>1</v>
      </c>
      <c r="AD2" t="s">
        <v>3895</v>
      </c>
    </row>
    <row r="3" spans="1:30" ht="20.149999999999999" customHeight="1" x14ac:dyDescent="0.35">
      <c r="A3" s="326" t="s">
        <v>3</v>
      </c>
      <c r="B3" t="s">
        <v>4</v>
      </c>
      <c r="C3" s="328" t="s">
        <v>3461</v>
      </c>
      <c r="D3" s="326" t="str">
        <f>_xlfn.CONCAT("NACE ", A3)</f>
        <v>NACE A - AGRICULTURE, FORESTRY AND FISHING</v>
      </c>
      <c r="E3" s="326" t="s">
        <v>4356</v>
      </c>
      <c r="F3" t="s">
        <v>5</v>
      </c>
      <c r="G3" t="str">
        <f t="shared" ref="G3:G66" si="1">RIGHT(F3,2)</f>
        <v>AE</v>
      </c>
      <c r="H3" t="s">
        <v>4536</v>
      </c>
      <c r="I3" t="s">
        <v>4558</v>
      </c>
      <c r="J3" t="s">
        <v>4556</v>
      </c>
      <c r="K3" t="s">
        <v>2847</v>
      </c>
      <c r="L3" t="s">
        <v>4350</v>
      </c>
      <c r="M3" t="s">
        <v>4759</v>
      </c>
      <c r="N3" t="s">
        <v>2961</v>
      </c>
      <c r="O3" t="s">
        <v>2965</v>
      </c>
      <c r="P3" t="s">
        <v>4646</v>
      </c>
      <c r="Q3" t="s">
        <v>4649</v>
      </c>
      <c r="R3" t="s">
        <v>4651</v>
      </c>
      <c r="S3">
        <v>2001</v>
      </c>
      <c r="T3" t="s">
        <v>4654</v>
      </c>
      <c r="U3" t="s">
        <v>4667</v>
      </c>
      <c r="V3" t="s">
        <v>4537</v>
      </c>
      <c r="W3" s="327">
        <v>2</v>
      </c>
      <c r="X3" t="s">
        <v>4654</v>
      </c>
      <c r="Y3" t="s">
        <v>4640</v>
      </c>
      <c r="Z3" t="s">
        <v>2847</v>
      </c>
      <c r="AA3" t="s">
        <v>3291</v>
      </c>
      <c r="AB3" s="344" t="s">
        <v>4789</v>
      </c>
      <c r="AC3">
        <v>2</v>
      </c>
      <c r="AD3" t="s">
        <v>3896</v>
      </c>
    </row>
    <row r="4" spans="1:30" x14ac:dyDescent="0.35">
      <c r="A4" s="325" t="s">
        <v>6</v>
      </c>
      <c r="B4" t="s">
        <v>7</v>
      </c>
      <c r="C4" s="328" t="s">
        <v>3462</v>
      </c>
      <c r="D4" s="325" t="str">
        <f t="shared" si="0"/>
        <v>NACE A - 01 Crop and animal production, hunting and related service activities</v>
      </c>
      <c r="E4" s="326" t="s">
        <v>8</v>
      </c>
      <c r="F4" t="s">
        <v>9</v>
      </c>
      <c r="G4" t="str">
        <f t="shared" si="1"/>
        <v>AF</v>
      </c>
      <c r="H4" t="s">
        <v>4537</v>
      </c>
      <c r="I4" t="s">
        <v>4559</v>
      </c>
      <c r="K4" t="s">
        <v>3263</v>
      </c>
      <c r="L4" t="s">
        <v>4351</v>
      </c>
      <c r="M4" t="s">
        <v>4760</v>
      </c>
      <c r="N4" t="s">
        <v>4643</v>
      </c>
      <c r="O4" t="s">
        <v>4072</v>
      </c>
      <c r="R4" t="s">
        <v>4652</v>
      </c>
      <c r="S4">
        <v>2002</v>
      </c>
      <c r="T4" t="s">
        <v>4655</v>
      </c>
      <c r="V4" t="s">
        <v>4538</v>
      </c>
      <c r="W4" s="327">
        <v>3</v>
      </c>
      <c r="X4" t="s">
        <v>4655</v>
      </c>
      <c r="Z4" t="s">
        <v>2848</v>
      </c>
      <c r="AA4" t="s">
        <v>3292</v>
      </c>
      <c r="AC4">
        <v>3</v>
      </c>
      <c r="AD4" t="s">
        <v>4674</v>
      </c>
    </row>
    <row r="5" spans="1:30" x14ac:dyDescent="0.35">
      <c r="A5" s="328" t="s">
        <v>10</v>
      </c>
      <c r="B5" t="s">
        <v>11</v>
      </c>
      <c r="C5" s="328" t="s">
        <v>3463</v>
      </c>
      <c r="D5" s="328" t="str">
        <f t="shared" si="0"/>
        <v>NACE A - 01.1 Growing of non-perennial crops</v>
      </c>
      <c r="E5" s="326" t="s">
        <v>4357</v>
      </c>
      <c r="F5" t="s">
        <v>12</v>
      </c>
      <c r="G5" t="str">
        <f t="shared" si="1"/>
        <v>AG</v>
      </c>
      <c r="H5" t="s">
        <v>4538</v>
      </c>
      <c r="I5" t="s">
        <v>4560</v>
      </c>
      <c r="K5" t="s">
        <v>2460</v>
      </c>
      <c r="L5" t="s">
        <v>4352</v>
      </c>
      <c r="O5" t="s">
        <v>4073</v>
      </c>
      <c r="S5">
        <v>2003</v>
      </c>
      <c r="T5" t="s">
        <v>4656</v>
      </c>
      <c r="V5" t="s">
        <v>4539</v>
      </c>
      <c r="W5" s="327">
        <v>4</v>
      </c>
      <c r="X5" t="s">
        <v>4656</v>
      </c>
      <c r="Z5" t="s">
        <v>2849</v>
      </c>
      <c r="AA5" t="s">
        <v>3293</v>
      </c>
      <c r="AC5">
        <v>4</v>
      </c>
      <c r="AD5" t="s">
        <v>3897</v>
      </c>
    </row>
    <row r="6" spans="1:30" x14ac:dyDescent="0.35">
      <c r="A6" s="329" t="s">
        <v>13</v>
      </c>
      <c r="B6" t="s">
        <v>14</v>
      </c>
      <c r="C6" s="328" t="s">
        <v>3464</v>
      </c>
      <c r="D6" s="329" t="str">
        <f t="shared" si="0"/>
        <v>NACE A - 01.11 Growing of cereals, other than rice, leguminous crops and oil seeds</v>
      </c>
      <c r="E6" s="326" t="s">
        <v>15</v>
      </c>
      <c r="F6" t="s">
        <v>16</v>
      </c>
      <c r="G6" t="str">
        <f t="shared" si="1"/>
        <v>AI</v>
      </c>
      <c r="H6" t="s">
        <v>4539</v>
      </c>
      <c r="I6" t="s">
        <v>4565</v>
      </c>
      <c r="K6" t="s">
        <v>2848</v>
      </c>
      <c r="L6" t="s">
        <v>4353</v>
      </c>
      <c r="O6" t="s">
        <v>4074</v>
      </c>
      <c r="S6">
        <v>2004</v>
      </c>
      <c r="T6" t="s">
        <v>4657</v>
      </c>
      <c r="V6" t="s">
        <v>4540</v>
      </c>
      <c r="W6" s="327">
        <v>5</v>
      </c>
      <c r="X6" t="s">
        <v>4657</v>
      </c>
      <c r="Z6" t="s">
        <v>2850</v>
      </c>
      <c r="AA6" t="s">
        <v>3294</v>
      </c>
      <c r="AC6">
        <v>5</v>
      </c>
    </row>
    <row r="7" spans="1:30" x14ac:dyDescent="0.35">
      <c r="A7" s="329" t="s">
        <v>17</v>
      </c>
      <c r="B7" t="s">
        <v>18</v>
      </c>
      <c r="C7" s="328" t="s">
        <v>3465</v>
      </c>
      <c r="D7" s="329" t="str">
        <f t="shared" si="0"/>
        <v>NACE A - 01.12 Growing of rice</v>
      </c>
      <c r="E7" s="326" t="s">
        <v>4358</v>
      </c>
      <c r="F7" t="s">
        <v>19</v>
      </c>
      <c r="G7" t="str">
        <f t="shared" si="1"/>
        <v>AL</v>
      </c>
      <c r="H7" t="s">
        <v>4540</v>
      </c>
      <c r="I7" t="s">
        <v>4561</v>
      </c>
      <c r="K7" t="s">
        <v>2461</v>
      </c>
      <c r="O7" t="s">
        <v>4075</v>
      </c>
      <c r="S7">
        <v>2005</v>
      </c>
      <c r="T7" t="s">
        <v>4658</v>
      </c>
      <c r="V7" t="s">
        <v>4541</v>
      </c>
      <c r="W7" s="327">
        <v>6</v>
      </c>
      <c r="X7" t="s">
        <v>4658</v>
      </c>
      <c r="Z7" t="s">
        <v>2851</v>
      </c>
      <c r="AA7" t="s">
        <v>3295</v>
      </c>
      <c r="AC7">
        <v>6</v>
      </c>
    </row>
    <row r="8" spans="1:30" x14ac:dyDescent="0.35">
      <c r="A8" s="329" t="s">
        <v>20</v>
      </c>
      <c r="B8" t="s">
        <v>21</v>
      </c>
      <c r="C8" s="328" t="s">
        <v>3466</v>
      </c>
      <c r="D8" s="329" t="str">
        <f t="shared" si="0"/>
        <v>NACE A - 01.13 Growing of vegetables and melons, roots and tubers</v>
      </c>
      <c r="E8" s="326" t="s">
        <v>4359</v>
      </c>
      <c r="F8" t="s">
        <v>22</v>
      </c>
      <c r="G8" t="str">
        <f t="shared" si="1"/>
        <v>AM</v>
      </c>
      <c r="H8" t="s">
        <v>4541</v>
      </c>
      <c r="I8" t="s">
        <v>2438</v>
      </c>
      <c r="K8" t="s">
        <v>2462</v>
      </c>
      <c r="O8" t="s">
        <v>4076</v>
      </c>
      <c r="S8">
        <v>2006</v>
      </c>
      <c r="T8" t="s">
        <v>4659</v>
      </c>
      <c r="V8" t="s">
        <v>4542</v>
      </c>
      <c r="W8" s="327">
        <v>7</v>
      </c>
      <c r="X8" t="s">
        <v>4659</v>
      </c>
      <c r="Z8" t="s">
        <v>2440</v>
      </c>
      <c r="AA8" t="s">
        <v>3296</v>
      </c>
      <c r="AC8">
        <v>7</v>
      </c>
    </row>
    <row r="9" spans="1:30" x14ac:dyDescent="0.35">
      <c r="A9" s="329" t="s">
        <v>23</v>
      </c>
      <c r="B9" t="s">
        <v>24</v>
      </c>
      <c r="C9" s="328" t="s">
        <v>3467</v>
      </c>
      <c r="D9" s="329" t="str">
        <f t="shared" si="0"/>
        <v>NACE A - 01.14 Growing of sugar cane</v>
      </c>
      <c r="E9" s="326" t="s">
        <v>4529</v>
      </c>
      <c r="F9" t="s">
        <v>25</v>
      </c>
      <c r="G9" t="str">
        <f t="shared" si="1"/>
        <v>AN</v>
      </c>
      <c r="H9" t="s">
        <v>4542</v>
      </c>
      <c r="I9" t="s">
        <v>4562</v>
      </c>
      <c r="K9" t="s">
        <v>2849</v>
      </c>
      <c r="O9" t="s">
        <v>4077</v>
      </c>
      <c r="S9">
        <v>2007</v>
      </c>
      <c r="T9" t="s">
        <v>4660</v>
      </c>
      <c r="V9" t="s">
        <v>4543</v>
      </c>
      <c r="W9" s="327">
        <v>8</v>
      </c>
      <c r="X9" t="s">
        <v>4660</v>
      </c>
      <c r="Z9" t="s">
        <v>2852</v>
      </c>
      <c r="AA9" t="s">
        <v>3297</v>
      </c>
      <c r="AC9">
        <v>8</v>
      </c>
    </row>
    <row r="10" spans="1:30" x14ac:dyDescent="0.35">
      <c r="A10" s="329" t="s">
        <v>26</v>
      </c>
      <c r="B10" t="s">
        <v>27</v>
      </c>
      <c r="C10" s="325" t="s">
        <v>3468</v>
      </c>
      <c r="D10" s="329" t="str">
        <f t="shared" si="0"/>
        <v>NACE A - 01.15 Growing of tobacco</v>
      </c>
      <c r="E10" s="326" t="s">
        <v>28</v>
      </c>
      <c r="F10" t="s">
        <v>29</v>
      </c>
      <c r="G10" t="str">
        <f t="shared" si="1"/>
        <v>AO</v>
      </c>
      <c r="H10" t="s">
        <v>4543</v>
      </c>
      <c r="I10" t="s">
        <v>4563</v>
      </c>
      <c r="K10" t="s">
        <v>2463</v>
      </c>
      <c r="O10" t="s">
        <v>4078</v>
      </c>
      <c r="S10">
        <v>2008</v>
      </c>
      <c r="T10" t="s">
        <v>4661</v>
      </c>
      <c r="V10" t="s">
        <v>4544</v>
      </c>
      <c r="W10" s="327">
        <v>9</v>
      </c>
      <c r="X10" t="s">
        <v>4661</v>
      </c>
      <c r="Z10" t="s">
        <v>2853</v>
      </c>
      <c r="AA10" t="s">
        <v>3298</v>
      </c>
      <c r="AC10">
        <v>9</v>
      </c>
    </row>
    <row r="11" spans="1:30" x14ac:dyDescent="0.35">
      <c r="A11" s="329" t="s">
        <v>30</v>
      </c>
      <c r="B11" t="s">
        <v>31</v>
      </c>
      <c r="C11" s="328" t="s">
        <v>3469</v>
      </c>
      <c r="D11" s="329" t="str">
        <f t="shared" si="0"/>
        <v>NACE A - 01.16 Growing of fibre crops</v>
      </c>
      <c r="E11" s="326" t="s">
        <v>4360</v>
      </c>
      <c r="F11" t="s">
        <v>32</v>
      </c>
      <c r="G11" t="str">
        <f t="shared" si="1"/>
        <v>AQ</v>
      </c>
      <c r="H11" t="s">
        <v>4544</v>
      </c>
      <c r="I11" t="s">
        <v>4564</v>
      </c>
      <c r="K11" t="s">
        <v>2464</v>
      </c>
      <c r="O11" t="s">
        <v>4079</v>
      </c>
      <c r="S11">
        <v>2009</v>
      </c>
      <c r="T11" t="s">
        <v>4662</v>
      </c>
      <c r="V11" t="s">
        <v>4545</v>
      </c>
      <c r="W11" s="327">
        <v>10</v>
      </c>
      <c r="X11" t="s">
        <v>4662</v>
      </c>
      <c r="Z11" t="s">
        <v>2854</v>
      </c>
      <c r="AA11" t="s">
        <v>3299</v>
      </c>
      <c r="AC11">
        <v>10</v>
      </c>
    </row>
    <row r="12" spans="1:30" x14ac:dyDescent="0.35">
      <c r="A12" s="329" t="s">
        <v>33</v>
      </c>
      <c r="B12" t="s">
        <v>34</v>
      </c>
      <c r="C12" s="328" t="s">
        <v>3470</v>
      </c>
      <c r="D12" s="329" t="str">
        <f t="shared" si="0"/>
        <v>NACE A - 01.19 Growing of other non-perennial crops</v>
      </c>
      <c r="E12" s="326" t="s">
        <v>4361</v>
      </c>
      <c r="F12" t="s">
        <v>35</v>
      </c>
      <c r="G12" t="str">
        <f t="shared" si="1"/>
        <v>AR</v>
      </c>
      <c r="H12" t="s">
        <v>4545</v>
      </c>
      <c r="I12" t="s">
        <v>4566</v>
      </c>
      <c r="K12" t="s">
        <v>2465</v>
      </c>
      <c r="O12" t="s">
        <v>4171</v>
      </c>
      <c r="S12">
        <v>2010</v>
      </c>
      <c r="T12" t="s">
        <v>4663</v>
      </c>
      <c r="V12" t="s">
        <v>4546</v>
      </c>
      <c r="W12" s="327">
        <v>11</v>
      </c>
      <c r="X12" t="s">
        <v>4663</v>
      </c>
      <c r="Z12" t="s">
        <v>2855</v>
      </c>
      <c r="AA12" t="s">
        <v>3300</v>
      </c>
      <c r="AC12">
        <v>11</v>
      </c>
    </row>
    <row r="13" spans="1:30" x14ac:dyDescent="0.35">
      <c r="A13" s="328" t="s">
        <v>36</v>
      </c>
      <c r="B13" t="s">
        <v>37</v>
      </c>
      <c r="C13" s="328" t="s">
        <v>3471</v>
      </c>
      <c r="D13" s="328" t="str">
        <f t="shared" si="0"/>
        <v>NACE A - 01.2 Growing of perennial crops</v>
      </c>
      <c r="E13" s="326" t="s">
        <v>4362</v>
      </c>
      <c r="F13" t="s">
        <v>38</v>
      </c>
      <c r="G13" t="str">
        <f t="shared" si="1"/>
        <v>AS</v>
      </c>
      <c r="H13" t="s">
        <v>4546</v>
      </c>
      <c r="I13" t="s">
        <v>4567</v>
      </c>
      <c r="K13" t="s">
        <v>2466</v>
      </c>
      <c r="S13">
        <v>2011</v>
      </c>
      <c r="T13" t="s">
        <v>4664</v>
      </c>
      <c r="V13" t="s">
        <v>4547</v>
      </c>
      <c r="W13" s="327">
        <v>12</v>
      </c>
      <c r="X13" t="s">
        <v>4664</v>
      </c>
      <c r="Z13" t="s">
        <v>2856</v>
      </c>
      <c r="AA13" t="s">
        <v>3301</v>
      </c>
      <c r="AC13">
        <v>12</v>
      </c>
    </row>
    <row r="14" spans="1:30" x14ac:dyDescent="0.35">
      <c r="A14" s="329" t="s">
        <v>39</v>
      </c>
      <c r="B14" t="s">
        <v>40</v>
      </c>
      <c r="C14" s="328" t="s">
        <v>3472</v>
      </c>
      <c r="D14" s="329" t="str">
        <f t="shared" si="0"/>
        <v>NACE A - 01.21 Growing of grapes</v>
      </c>
      <c r="E14" s="326" t="s">
        <v>4363</v>
      </c>
      <c r="F14" t="s">
        <v>41</v>
      </c>
      <c r="G14" t="str">
        <f t="shared" si="1"/>
        <v>AT</v>
      </c>
      <c r="H14" t="s">
        <v>4547</v>
      </c>
      <c r="I14" t="s">
        <v>4568</v>
      </c>
      <c r="K14" t="s">
        <v>2850</v>
      </c>
      <c r="S14">
        <v>2012</v>
      </c>
      <c r="V14" t="s">
        <v>4548</v>
      </c>
      <c r="Z14" t="s">
        <v>2857</v>
      </c>
      <c r="AA14" t="s">
        <v>3302</v>
      </c>
      <c r="AC14">
        <v>13</v>
      </c>
    </row>
    <row r="15" spans="1:30" ht="29" x14ac:dyDescent="0.35">
      <c r="A15" s="329" t="s">
        <v>42</v>
      </c>
      <c r="B15" t="s">
        <v>43</v>
      </c>
      <c r="C15" s="325" t="s">
        <v>3473</v>
      </c>
      <c r="D15" s="329" t="str">
        <f t="shared" si="0"/>
        <v>NACE A - 01.22 Growing of tropical and subtropical fruits</v>
      </c>
      <c r="E15" s="326" t="s">
        <v>4364</v>
      </c>
      <c r="F15" t="s">
        <v>44</v>
      </c>
      <c r="G15" t="str">
        <f t="shared" si="1"/>
        <v>AU</v>
      </c>
      <c r="H15" s="2" t="s">
        <v>4548</v>
      </c>
      <c r="I15" t="s">
        <v>2437</v>
      </c>
      <c r="K15" t="s">
        <v>2467</v>
      </c>
      <c r="S15">
        <v>2013</v>
      </c>
      <c r="V15" t="s">
        <v>4549</v>
      </c>
      <c r="Z15" t="s">
        <v>2858</v>
      </c>
      <c r="AA15" t="s">
        <v>3303</v>
      </c>
      <c r="AC15">
        <v>14</v>
      </c>
    </row>
    <row r="16" spans="1:30" x14ac:dyDescent="0.35">
      <c r="A16" s="329" t="s">
        <v>45</v>
      </c>
      <c r="B16" t="s">
        <v>46</v>
      </c>
      <c r="C16" s="328" t="s">
        <v>3474</v>
      </c>
      <c r="D16" s="329" t="str">
        <f t="shared" si="0"/>
        <v>NACE A - 01.23 Growing of citrus fruits</v>
      </c>
      <c r="E16" s="326" t="s">
        <v>47</v>
      </c>
      <c r="F16" t="s">
        <v>48</v>
      </c>
      <c r="G16" t="str">
        <f t="shared" si="1"/>
        <v>AW</v>
      </c>
      <c r="H16" t="s">
        <v>4549</v>
      </c>
      <c r="I16" t="s">
        <v>4569</v>
      </c>
      <c r="K16" t="s">
        <v>2468</v>
      </c>
      <c r="S16">
        <v>2014</v>
      </c>
      <c r="V16" t="s">
        <v>4550</v>
      </c>
      <c r="Z16" t="s">
        <v>2441</v>
      </c>
      <c r="AA16" t="s">
        <v>3304</v>
      </c>
      <c r="AC16">
        <v>15</v>
      </c>
    </row>
    <row r="17" spans="1:29" x14ac:dyDescent="0.35">
      <c r="A17" s="329" t="s">
        <v>49</v>
      </c>
      <c r="B17" t="s">
        <v>50</v>
      </c>
      <c r="C17" s="328" t="s">
        <v>3475</v>
      </c>
      <c r="D17" s="329" t="str">
        <f t="shared" si="0"/>
        <v>NACE A - 01.24 Growing of pome fruits and stone fruits</v>
      </c>
      <c r="E17" s="326" t="s">
        <v>4365</v>
      </c>
      <c r="F17" t="s">
        <v>51</v>
      </c>
      <c r="G17" t="str">
        <f t="shared" si="1"/>
        <v>AX</v>
      </c>
      <c r="H17" t="s">
        <v>4550</v>
      </c>
      <c r="I17" t="s">
        <v>2436</v>
      </c>
      <c r="K17" t="s">
        <v>2469</v>
      </c>
      <c r="S17">
        <v>2015</v>
      </c>
      <c r="V17" t="s">
        <v>4551</v>
      </c>
      <c r="Z17" t="s">
        <v>2859</v>
      </c>
      <c r="AA17" t="s">
        <v>3305</v>
      </c>
      <c r="AC17">
        <v>16</v>
      </c>
    </row>
    <row r="18" spans="1:29" x14ac:dyDescent="0.35">
      <c r="A18" s="329" t="s">
        <v>52</v>
      </c>
      <c r="B18" t="s">
        <v>53</v>
      </c>
      <c r="C18" s="328" t="s">
        <v>3476</v>
      </c>
      <c r="D18" s="329" t="str">
        <f t="shared" si="0"/>
        <v>NACE A - 01.25 Growing of other tree and bush fruits and nuts</v>
      </c>
      <c r="E18" s="326" t="s">
        <v>4366</v>
      </c>
      <c r="F18" t="s">
        <v>54</v>
      </c>
      <c r="G18" t="str">
        <f t="shared" si="1"/>
        <v>AZ</v>
      </c>
      <c r="H18" t="s">
        <v>4551</v>
      </c>
      <c r="I18" t="s">
        <v>4570</v>
      </c>
      <c r="K18" t="s">
        <v>2470</v>
      </c>
      <c r="S18">
        <v>2016</v>
      </c>
      <c r="V18" t="s">
        <v>4552</v>
      </c>
      <c r="Z18" t="s">
        <v>2860</v>
      </c>
      <c r="AA18" t="s">
        <v>3306</v>
      </c>
      <c r="AC18">
        <v>17</v>
      </c>
    </row>
    <row r="19" spans="1:29" ht="29" x14ac:dyDescent="0.35">
      <c r="A19" s="329" t="s">
        <v>55</v>
      </c>
      <c r="B19" t="s">
        <v>56</v>
      </c>
      <c r="C19" s="326" t="s">
        <v>3459</v>
      </c>
      <c r="D19" s="329" t="str">
        <f t="shared" si="0"/>
        <v>NACE A - 01.26 Growing of oleaginous fruits</v>
      </c>
      <c r="E19" s="326" t="s">
        <v>4367</v>
      </c>
      <c r="F19" t="s">
        <v>57</v>
      </c>
      <c r="G19" t="str">
        <f t="shared" si="1"/>
        <v>BA</v>
      </c>
      <c r="H19" s="2" t="s">
        <v>4552</v>
      </c>
      <c r="I19" t="s">
        <v>4571</v>
      </c>
      <c r="K19" t="s">
        <v>2471</v>
      </c>
      <c r="S19">
        <v>2017</v>
      </c>
      <c r="V19" t="s">
        <v>4553</v>
      </c>
      <c r="Z19" t="s">
        <v>2861</v>
      </c>
      <c r="AA19" t="s">
        <v>3307</v>
      </c>
      <c r="AC19">
        <v>18</v>
      </c>
    </row>
    <row r="20" spans="1:29" x14ac:dyDescent="0.35">
      <c r="A20" s="329" t="s">
        <v>58</v>
      </c>
      <c r="B20" t="s">
        <v>59</v>
      </c>
      <c r="C20" s="325" t="s">
        <v>3478</v>
      </c>
      <c r="D20" s="329" t="str">
        <f t="shared" si="0"/>
        <v>NACE A - 01.27 Growing of beverage crops</v>
      </c>
      <c r="E20" s="326" t="s">
        <v>4368</v>
      </c>
      <c r="F20" t="s">
        <v>60</v>
      </c>
      <c r="G20" t="str">
        <f t="shared" si="1"/>
        <v>BB</v>
      </c>
      <c r="H20" t="s">
        <v>4553</v>
      </c>
      <c r="I20" t="s">
        <v>4572</v>
      </c>
      <c r="K20" t="s">
        <v>2472</v>
      </c>
      <c r="S20">
        <v>2018</v>
      </c>
      <c r="V20" t="s">
        <v>4554</v>
      </c>
      <c r="Z20" t="s">
        <v>2442</v>
      </c>
      <c r="AA20" t="s">
        <v>3308</v>
      </c>
      <c r="AC20">
        <v>19</v>
      </c>
    </row>
    <row r="21" spans="1:29" x14ac:dyDescent="0.35">
      <c r="A21" s="329" t="s">
        <v>61</v>
      </c>
      <c r="B21" t="s">
        <v>62</v>
      </c>
      <c r="C21" s="325" t="s">
        <v>3481</v>
      </c>
      <c r="D21" s="329" t="str">
        <f t="shared" si="0"/>
        <v>NACE A - 01.28 Growing of spices, aromatic, drug and pharmaceutical crops</v>
      </c>
      <c r="E21" s="326" t="s">
        <v>63</v>
      </c>
      <c r="F21" t="s">
        <v>64</v>
      </c>
      <c r="G21" t="str">
        <f t="shared" si="1"/>
        <v>BD</v>
      </c>
      <c r="H21" t="s">
        <v>4554</v>
      </c>
      <c r="I21" t="s">
        <v>4573</v>
      </c>
      <c r="K21" t="s">
        <v>2473</v>
      </c>
      <c r="S21">
        <v>2019</v>
      </c>
      <c r="V21" t="s">
        <v>4555</v>
      </c>
      <c r="Z21" t="s">
        <v>2862</v>
      </c>
      <c r="AA21" t="s">
        <v>3309</v>
      </c>
      <c r="AC21">
        <v>20</v>
      </c>
    </row>
    <row r="22" spans="1:29" x14ac:dyDescent="0.35">
      <c r="A22" s="329" t="s">
        <v>65</v>
      </c>
      <c r="B22" t="s">
        <v>66</v>
      </c>
      <c r="C22" s="328" t="s">
        <v>3479</v>
      </c>
      <c r="D22" s="329" t="str">
        <f t="shared" si="0"/>
        <v>NACE A - 01.29 Growing of other perennial crops</v>
      </c>
      <c r="E22" s="326" t="s">
        <v>4369</v>
      </c>
      <c r="F22" t="s">
        <v>67</v>
      </c>
      <c r="G22" t="str">
        <f t="shared" si="1"/>
        <v>BE</v>
      </c>
      <c r="H22" t="s">
        <v>4555</v>
      </c>
      <c r="I22" t="s">
        <v>2435</v>
      </c>
      <c r="K22" t="s">
        <v>2851</v>
      </c>
      <c r="S22">
        <v>2020</v>
      </c>
      <c r="Z22" t="s">
        <v>2863</v>
      </c>
      <c r="AA22" t="s">
        <v>3310</v>
      </c>
      <c r="AC22">
        <v>21</v>
      </c>
    </row>
    <row r="23" spans="1:29" x14ac:dyDescent="0.35">
      <c r="A23" s="328" t="s">
        <v>68</v>
      </c>
      <c r="B23" t="s">
        <v>69</v>
      </c>
      <c r="C23" s="328" t="s">
        <v>3480</v>
      </c>
      <c r="D23" s="328" t="str">
        <f t="shared" si="0"/>
        <v>NACE A - 01.3 Plant propagation</v>
      </c>
      <c r="E23" s="326" t="s">
        <v>70</v>
      </c>
      <c r="F23" t="s">
        <v>71</v>
      </c>
      <c r="G23" t="str">
        <f t="shared" si="1"/>
        <v>BF</v>
      </c>
      <c r="I23" t="s">
        <v>4574</v>
      </c>
      <c r="K23" t="s">
        <v>2474</v>
      </c>
      <c r="S23">
        <v>2021</v>
      </c>
      <c r="Z23" t="s">
        <v>2443</v>
      </c>
      <c r="AA23" t="s">
        <v>3311</v>
      </c>
      <c r="AC23">
        <v>22</v>
      </c>
    </row>
    <row r="24" spans="1:29" x14ac:dyDescent="0.35">
      <c r="A24" s="329" t="s">
        <v>72</v>
      </c>
      <c r="B24" t="s">
        <v>73</v>
      </c>
      <c r="C24" s="325" t="s">
        <v>3484</v>
      </c>
      <c r="D24" s="329" t="str">
        <f t="shared" si="0"/>
        <v>NACE A - 01.30 Plant propagation</v>
      </c>
      <c r="E24" s="326" t="s">
        <v>4370</v>
      </c>
      <c r="F24" t="s">
        <v>74</v>
      </c>
      <c r="G24" t="str">
        <f t="shared" si="1"/>
        <v>BG</v>
      </c>
      <c r="I24" t="s">
        <v>4575</v>
      </c>
      <c r="K24" t="s">
        <v>2475</v>
      </c>
      <c r="S24">
        <v>2022</v>
      </c>
      <c r="Z24" t="s">
        <v>2864</v>
      </c>
      <c r="AA24" t="s">
        <v>3312</v>
      </c>
      <c r="AC24">
        <v>23</v>
      </c>
    </row>
    <row r="25" spans="1:29" x14ac:dyDescent="0.35">
      <c r="A25" s="328" t="s">
        <v>75</v>
      </c>
      <c r="B25" t="s">
        <v>76</v>
      </c>
      <c r="C25" s="328" t="s">
        <v>3482</v>
      </c>
      <c r="D25" s="328" t="str">
        <f t="shared" si="0"/>
        <v>NACE A - 01.4 Animal production</v>
      </c>
      <c r="E25" s="326" t="s">
        <v>4371</v>
      </c>
      <c r="F25" t="s">
        <v>77</v>
      </c>
      <c r="G25" t="str">
        <f t="shared" si="1"/>
        <v>BH</v>
      </c>
      <c r="I25" t="s">
        <v>4576</v>
      </c>
      <c r="K25" t="s">
        <v>2476</v>
      </c>
      <c r="S25">
        <v>2023</v>
      </c>
      <c r="Z25" t="s">
        <v>2865</v>
      </c>
      <c r="AA25" t="s">
        <v>3313</v>
      </c>
      <c r="AC25">
        <v>24</v>
      </c>
    </row>
    <row r="26" spans="1:29" x14ac:dyDescent="0.35">
      <c r="A26" s="329" t="s">
        <v>78</v>
      </c>
      <c r="B26" t="s">
        <v>79</v>
      </c>
      <c r="C26" s="328" t="s">
        <v>3483</v>
      </c>
      <c r="D26" s="329" t="str">
        <f t="shared" si="0"/>
        <v>NACE A - 01.41 Raising of dairy cattle</v>
      </c>
      <c r="E26" s="326" t="s">
        <v>80</v>
      </c>
      <c r="F26" t="s">
        <v>81</v>
      </c>
      <c r="G26" t="str">
        <f t="shared" si="1"/>
        <v>BI</v>
      </c>
      <c r="I26" t="s">
        <v>2434</v>
      </c>
      <c r="K26" t="s">
        <v>2477</v>
      </c>
      <c r="S26">
        <v>2024</v>
      </c>
      <c r="Z26" t="s">
        <v>2866</v>
      </c>
      <c r="AA26" t="s">
        <v>3314</v>
      </c>
      <c r="AC26">
        <v>25</v>
      </c>
    </row>
    <row r="27" spans="1:29" x14ac:dyDescent="0.35">
      <c r="A27" s="329" t="s">
        <v>82</v>
      </c>
      <c r="B27" t="s">
        <v>83</v>
      </c>
      <c r="C27" s="325" t="s">
        <v>3487</v>
      </c>
      <c r="D27" s="329" t="str">
        <f t="shared" si="0"/>
        <v>NACE A - 01.42 Raising of other cattle and buffaloes</v>
      </c>
      <c r="E27" s="326" t="s">
        <v>4372</v>
      </c>
      <c r="F27" t="s">
        <v>84</v>
      </c>
      <c r="G27" t="str">
        <f t="shared" si="1"/>
        <v>BJ</v>
      </c>
      <c r="I27" t="s">
        <v>4577</v>
      </c>
      <c r="K27" t="s">
        <v>2478</v>
      </c>
      <c r="S27">
        <v>2025</v>
      </c>
      <c r="Z27" t="s">
        <v>2867</v>
      </c>
      <c r="AA27" t="s">
        <v>3315</v>
      </c>
      <c r="AC27">
        <v>26</v>
      </c>
    </row>
    <row r="28" spans="1:29" x14ac:dyDescent="0.35">
      <c r="A28" s="329" t="s">
        <v>85</v>
      </c>
      <c r="B28" t="s">
        <v>86</v>
      </c>
      <c r="C28" s="328" t="s">
        <v>3485</v>
      </c>
      <c r="D28" s="329" t="str">
        <f t="shared" si="0"/>
        <v>NACE A - 01.43 Raising of horses and other equines</v>
      </c>
      <c r="E28" s="326" t="s">
        <v>4373</v>
      </c>
      <c r="F28" t="s">
        <v>87</v>
      </c>
      <c r="G28" t="str">
        <f t="shared" si="1"/>
        <v>BL</v>
      </c>
      <c r="I28" t="s">
        <v>4578</v>
      </c>
      <c r="K28" t="s">
        <v>2440</v>
      </c>
      <c r="S28">
        <v>2026</v>
      </c>
      <c r="Z28" t="s">
        <v>2868</v>
      </c>
      <c r="AA28" t="s">
        <v>3316</v>
      </c>
      <c r="AC28">
        <v>27</v>
      </c>
    </row>
    <row r="29" spans="1:29" x14ac:dyDescent="0.35">
      <c r="A29" s="329" t="s">
        <v>88</v>
      </c>
      <c r="B29" t="s">
        <v>89</v>
      </c>
      <c r="C29" s="328" t="s">
        <v>3486</v>
      </c>
      <c r="D29" s="329" t="str">
        <f t="shared" si="0"/>
        <v>NACE A - 01.44 Raising of camels and camelids</v>
      </c>
      <c r="E29" s="326" t="s">
        <v>4374</v>
      </c>
      <c r="F29" t="s">
        <v>90</v>
      </c>
      <c r="G29" t="str">
        <f t="shared" si="1"/>
        <v>BM</v>
      </c>
      <c r="I29" t="s">
        <v>4579</v>
      </c>
      <c r="K29" t="s">
        <v>2852</v>
      </c>
      <c r="S29">
        <v>2027</v>
      </c>
      <c r="Z29" t="s">
        <v>2869</v>
      </c>
      <c r="AA29" t="s">
        <v>3317</v>
      </c>
      <c r="AC29">
        <v>28</v>
      </c>
    </row>
    <row r="30" spans="1:29" x14ac:dyDescent="0.35">
      <c r="A30" s="329" t="s">
        <v>91</v>
      </c>
      <c r="B30" t="s">
        <v>92</v>
      </c>
      <c r="C30" s="325" t="s">
        <v>3490</v>
      </c>
      <c r="D30" s="329" t="str">
        <f t="shared" si="0"/>
        <v>NACE A - 01.45 Raising of sheep and goats</v>
      </c>
      <c r="E30" s="326" t="s">
        <v>4375</v>
      </c>
      <c r="F30" t="s">
        <v>93</v>
      </c>
      <c r="G30" t="str">
        <f t="shared" si="1"/>
        <v>BN</v>
      </c>
      <c r="I30" t="s">
        <v>2433</v>
      </c>
      <c r="K30" t="s">
        <v>2479</v>
      </c>
      <c r="S30">
        <v>2028</v>
      </c>
      <c r="Z30" t="s">
        <v>2870</v>
      </c>
      <c r="AA30" t="s">
        <v>3318</v>
      </c>
      <c r="AC30">
        <v>29</v>
      </c>
    </row>
    <row r="31" spans="1:29" x14ac:dyDescent="0.35">
      <c r="A31" s="329" t="s">
        <v>94</v>
      </c>
      <c r="B31" t="s">
        <v>95</v>
      </c>
      <c r="C31" s="328" t="s">
        <v>3488</v>
      </c>
      <c r="D31" s="329" t="str">
        <f t="shared" si="0"/>
        <v>NACE A - 01.46 Raising of swine and pigs</v>
      </c>
      <c r="E31" s="326" t="s">
        <v>4376</v>
      </c>
      <c r="F31" t="s">
        <v>96</v>
      </c>
      <c r="G31" t="str">
        <f t="shared" si="1"/>
        <v>BO</v>
      </c>
      <c r="I31" t="s">
        <v>4580</v>
      </c>
      <c r="K31" t="s">
        <v>2480</v>
      </c>
      <c r="S31">
        <v>2029</v>
      </c>
      <c r="Z31" t="s">
        <v>2444</v>
      </c>
      <c r="AA31" t="s">
        <v>3319</v>
      </c>
      <c r="AC31">
        <v>30</v>
      </c>
    </row>
    <row r="32" spans="1:29" x14ac:dyDescent="0.35">
      <c r="A32" s="329" t="s">
        <v>97</v>
      </c>
      <c r="B32" t="s">
        <v>98</v>
      </c>
      <c r="C32" s="328" t="s">
        <v>3489</v>
      </c>
      <c r="D32" s="329" t="str">
        <f t="shared" si="0"/>
        <v>NACE A - 01.47 Raising of poultry</v>
      </c>
      <c r="E32" s="326" t="s">
        <v>4377</v>
      </c>
      <c r="F32" t="s">
        <v>99</v>
      </c>
      <c r="G32" t="str">
        <f t="shared" si="1"/>
        <v>BQ</v>
      </c>
      <c r="I32" t="s">
        <v>2432</v>
      </c>
      <c r="K32" t="s">
        <v>2481</v>
      </c>
      <c r="S32">
        <v>2030</v>
      </c>
      <c r="Z32" t="s">
        <v>2871</v>
      </c>
      <c r="AA32" t="s">
        <v>3320</v>
      </c>
      <c r="AC32">
        <v>31</v>
      </c>
    </row>
    <row r="33" spans="1:27" x14ac:dyDescent="0.35">
      <c r="A33" s="329" t="s">
        <v>100</v>
      </c>
      <c r="B33" t="s">
        <v>101</v>
      </c>
      <c r="C33" s="328" t="s">
        <v>3491</v>
      </c>
      <c r="D33" s="329" t="str">
        <f t="shared" si="0"/>
        <v>NACE A - 01.48 Raising of other animals</v>
      </c>
      <c r="E33" s="326" t="s">
        <v>4378</v>
      </c>
      <c r="F33" t="s">
        <v>102</v>
      </c>
      <c r="G33" t="str">
        <f t="shared" si="1"/>
        <v>BR</v>
      </c>
      <c r="I33" t="s">
        <v>4581</v>
      </c>
      <c r="K33" t="s">
        <v>2482</v>
      </c>
      <c r="S33">
        <v>2031</v>
      </c>
      <c r="Z33" t="s">
        <v>2872</v>
      </c>
      <c r="AA33" t="s">
        <v>3321</v>
      </c>
    </row>
    <row r="34" spans="1:27" x14ac:dyDescent="0.35">
      <c r="A34" s="328" t="s">
        <v>103</v>
      </c>
      <c r="B34" t="s">
        <v>104</v>
      </c>
      <c r="C34" s="328" t="s">
        <v>3492</v>
      </c>
      <c r="D34" s="328" t="str">
        <f t="shared" si="0"/>
        <v>NACE A - 01.5 Mixed farming</v>
      </c>
      <c r="E34" s="326" t="s">
        <v>105</v>
      </c>
      <c r="F34" t="s">
        <v>106</v>
      </c>
      <c r="G34" t="str">
        <f t="shared" si="1"/>
        <v>BS</v>
      </c>
      <c r="I34" t="s">
        <v>4582</v>
      </c>
      <c r="K34" t="s">
        <v>2459</v>
      </c>
      <c r="S34">
        <v>2032</v>
      </c>
      <c r="Z34" t="s">
        <v>2873</v>
      </c>
      <c r="AA34" t="s">
        <v>3322</v>
      </c>
    </row>
    <row r="35" spans="1:27" x14ac:dyDescent="0.35">
      <c r="A35" s="329" t="s">
        <v>107</v>
      </c>
      <c r="B35" t="s">
        <v>108</v>
      </c>
      <c r="C35" s="326" t="s">
        <v>3477</v>
      </c>
      <c r="D35" s="329" t="str">
        <f t="shared" si="0"/>
        <v>NACE A - 01.50 Mixed farming</v>
      </c>
      <c r="E35" s="326" t="s">
        <v>4379</v>
      </c>
      <c r="F35" t="s">
        <v>109</v>
      </c>
      <c r="G35" t="str">
        <f t="shared" si="1"/>
        <v>BT</v>
      </c>
      <c r="I35" t="s">
        <v>4583</v>
      </c>
      <c r="K35" t="s">
        <v>2483</v>
      </c>
      <c r="S35">
        <v>2033</v>
      </c>
      <c r="Z35" t="s">
        <v>2874</v>
      </c>
      <c r="AA35" t="s">
        <v>3323</v>
      </c>
    </row>
    <row r="36" spans="1:27" x14ac:dyDescent="0.35">
      <c r="A36" s="328" t="s">
        <v>110</v>
      </c>
      <c r="B36" t="s">
        <v>111</v>
      </c>
      <c r="C36" s="325" t="s">
        <v>3494</v>
      </c>
      <c r="D36" s="328" t="str">
        <f t="shared" si="0"/>
        <v>NACE A - 01.6 Support activities to agriculture and post-harvest crop activities</v>
      </c>
      <c r="E36" s="326" t="s">
        <v>4530</v>
      </c>
      <c r="F36" t="s">
        <v>112</v>
      </c>
      <c r="G36" t="str">
        <f t="shared" si="1"/>
        <v>BU</v>
      </c>
      <c r="I36" t="s">
        <v>4584</v>
      </c>
      <c r="K36" t="s">
        <v>2484</v>
      </c>
      <c r="S36">
        <v>2034</v>
      </c>
      <c r="Z36" t="s">
        <v>2875</v>
      </c>
      <c r="AA36" t="s">
        <v>3324</v>
      </c>
    </row>
    <row r="37" spans="1:27" x14ac:dyDescent="0.35">
      <c r="A37" s="329" t="s">
        <v>113</v>
      </c>
      <c r="B37" t="s">
        <v>114</v>
      </c>
      <c r="C37" s="328" t="s">
        <v>3495</v>
      </c>
      <c r="D37" s="329" t="str">
        <f t="shared" si="0"/>
        <v>NACE A - 01.61 Support activities for crop production</v>
      </c>
      <c r="E37" s="326" t="s">
        <v>4380</v>
      </c>
      <c r="F37" t="s">
        <v>115</v>
      </c>
      <c r="G37" t="str">
        <f t="shared" si="1"/>
        <v>BV</v>
      </c>
      <c r="I37" t="s">
        <v>4585</v>
      </c>
      <c r="K37" t="s">
        <v>2485</v>
      </c>
      <c r="S37">
        <v>2035</v>
      </c>
      <c r="Z37" t="s">
        <v>2876</v>
      </c>
      <c r="AA37" t="s">
        <v>3325</v>
      </c>
    </row>
    <row r="38" spans="1:27" x14ac:dyDescent="0.35">
      <c r="A38" s="329" t="s">
        <v>116</v>
      </c>
      <c r="B38" t="s">
        <v>117</v>
      </c>
      <c r="C38" s="328" t="s">
        <v>3496</v>
      </c>
      <c r="D38" s="329" t="str">
        <f t="shared" si="0"/>
        <v>NACE A - 01.62 Support activities for animal production</v>
      </c>
      <c r="E38" s="326" t="s">
        <v>118</v>
      </c>
      <c r="F38" t="s">
        <v>119</v>
      </c>
      <c r="G38" t="str">
        <f t="shared" si="1"/>
        <v>BW</v>
      </c>
      <c r="I38" t="s">
        <v>4586</v>
      </c>
      <c r="K38" t="s">
        <v>2853</v>
      </c>
      <c r="S38">
        <v>2036</v>
      </c>
      <c r="Z38" t="s">
        <v>2877</v>
      </c>
      <c r="AA38" t="s">
        <v>3326</v>
      </c>
    </row>
    <row r="39" spans="1:27" x14ac:dyDescent="0.35">
      <c r="A39" s="329" t="s">
        <v>120</v>
      </c>
      <c r="B39" t="s">
        <v>121</v>
      </c>
      <c r="C39" s="328" t="s">
        <v>3497</v>
      </c>
      <c r="D39" s="329" t="str">
        <f t="shared" si="0"/>
        <v>NACE A - 01.63 Post-harvest crop activities and seed processing for propagation</v>
      </c>
      <c r="E39" s="326" t="s">
        <v>4381</v>
      </c>
      <c r="F39" t="s">
        <v>122</v>
      </c>
      <c r="G39" t="str">
        <f t="shared" si="1"/>
        <v>BY</v>
      </c>
      <c r="I39" t="s">
        <v>4587</v>
      </c>
      <c r="K39" t="s">
        <v>2486</v>
      </c>
      <c r="S39">
        <v>2037</v>
      </c>
      <c r="Z39" t="s">
        <v>2878</v>
      </c>
      <c r="AA39" t="s">
        <v>3327</v>
      </c>
    </row>
    <row r="40" spans="1:27" x14ac:dyDescent="0.35">
      <c r="A40" s="328" t="s">
        <v>123</v>
      </c>
      <c r="B40" t="s">
        <v>124</v>
      </c>
      <c r="C40" s="328" t="s">
        <v>3498</v>
      </c>
      <c r="D40" s="328" t="str">
        <f t="shared" si="0"/>
        <v>NACE A - 01.7 Hunting, trapping and related service activities</v>
      </c>
      <c r="E40" s="326" t="s">
        <v>125</v>
      </c>
      <c r="F40" t="s">
        <v>126</v>
      </c>
      <c r="G40" t="str">
        <f t="shared" si="1"/>
        <v>BZ</v>
      </c>
      <c r="I40" t="s">
        <v>4588</v>
      </c>
      <c r="K40" t="s">
        <v>2487</v>
      </c>
      <c r="S40">
        <v>2038</v>
      </c>
      <c r="Z40" t="s">
        <v>2879</v>
      </c>
      <c r="AA40" t="s">
        <v>3328</v>
      </c>
    </row>
    <row r="41" spans="1:27" x14ac:dyDescent="0.35">
      <c r="A41" s="329" t="s">
        <v>127</v>
      </c>
      <c r="B41" t="s">
        <v>128</v>
      </c>
      <c r="C41" s="328" t="s">
        <v>3499</v>
      </c>
      <c r="D41" s="329" t="str">
        <f t="shared" si="0"/>
        <v>NACE A - 01.70 Hunting, trapping and related service activities</v>
      </c>
      <c r="E41" s="326" t="s">
        <v>129</v>
      </c>
      <c r="F41" t="s">
        <v>130</v>
      </c>
      <c r="G41" t="str">
        <f t="shared" si="1"/>
        <v>CA</v>
      </c>
      <c r="I41" t="s">
        <v>2431</v>
      </c>
      <c r="K41" t="s">
        <v>2488</v>
      </c>
      <c r="S41">
        <v>2039</v>
      </c>
      <c r="Z41" t="s">
        <v>2880</v>
      </c>
      <c r="AA41" t="s">
        <v>3329</v>
      </c>
    </row>
    <row r="42" spans="1:27" x14ac:dyDescent="0.35">
      <c r="A42" s="325" t="s">
        <v>131</v>
      </c>
      <c r="B42" t="s">
        <v>132</v>
      </c>
      <c r="C42" s="328" t="s">
        <v>3500</v>
      </c>
      <c r="D42" s="325" t="str">
        <f t="shared" si="0"/>
        <v>NACE A - 02 Forestry and logging</v>
      </c>
      <c r="E42" s="326" t="s">
        <v>4382</v>
      </c>
      <c r="F42" t="s">
        <v>133</v>
      </c>
      <c r="G42" t="str">
        <f t="shared" si="1"/>
        <v>CC</v>
      </c>
      <c r="I42" t="s">
        <v>4589</v>
      </c>
      <c r="K42" t="s">
        <v>2489</v>
      </c>
      <c r="S42">
        <v>2040</v>
      </c>
      <c r="Z42" t="s">
        <v>2881</v>
      </c>
      <c r="AA42" t="s">
        <v>3330</v>
      </c>
    </row>
    <row r="43" spans="1:27" x14ac:dyDescent="0.35">
      <c r="A43" s="328" t="s">
        <v>134</v>
      </c>
      <c r="B43" t="s">
        <v>135</v>
      </c>
      <c r="C43" s="328" t="s">
        <v>3501</v>
      </c>
      <c r="D43" s="328" t="str">
        <f t="shared" si="0"/>
        <v>NACE A - 02.1 Silviculture and other forestry activities</v>
      </c>
      <c r="E43" s="326" t="s">
        <v>4383</v>
      </c>
      <c r="F43" t="s">
        <v>136</v>
      </c>
      <c r="G43" t="str">
        <f t="shared" si="1"/>
        <v>CD</v>
      </c>
      <c r="I43" t="s">
        <v>4590</v>
      </c>
      <c r="K43" t="s">
        <v>2490</v>
      </c>
      <c r="S43">
        <v>2041</v>
      </c>
      <c r="Z43" t="s">
        <v>2882</v>
      </c>
      <c r="AA43" t="s">
        <v>3331</v>
      </c>
    </row>
    <row r="44" spans="1:27" x14ac:dyDescent="0.35">
      <c r="A44" s="329" t="s">
        <v>137</v>
      </c>
      <c r="B44" t="s">
        <v>138</v>
      </c>
      <c r="C44" s="328" t="s">
        <v>3502</v>
      </c>
      <c r="D44" s="329" t="str">
        <f t="shared" si="0"/>
        <v>NACE A - 02.10 Silviculture and other forestry activities</v>
      </c>
      <c r="E44" s="326" t="s">
        <v>4384</v>
      </c>
      <c r="F44" t="s">
        <v>139</v>
      </c>
      <c r="G44" t="str">
        <f t="shared" si="1"/>
        <v>CF</v>
      </c>
      <c r="I44" t="s">
        <v>4591</v>
      </c>
      <c r="K44" t="s">
        <v>2854</v>
      </c>
      <c r="S44">
        <v>2042</v>
      </c>
      <c r="Z44" t="s">
        <v>2445</v>
      </c>
      <c r="AA44" t="s">
        <v>3332</v>
      </c>
    </row>
    <row r="45" spans="1:27" x14ac:dyDescent="0.35">
      <c r="A45" s="328" t="s">
        <v>140</v>
      </c>
      <c r="B45" t="s">
        <v>141</v>
      </c>
      <c r="C45" s="328" t="s">
        <v>3503</v>
      </c>
      <c r="D45" s="328" t="str">
        <f t="shared" si="0"/>
        <v>NACE A - 02.2 Logging</v>
      </c>
      <c r="E45" s="326" t="s">
        <v>142</v>
      </c>
      <c r="F45" t="s">
        <v>143</v>
      </c>
      <c r="G45" t="str">
        <f t="shared" si="1"/>
        <v>CG</v>
      </c>
      <c r="I45" t="s">
        <v>4592</v>
      </c>
      <c r="K45" t="s">
        <v>2491</v>
      </c>
      <c r="S45">
        <v>2043</v>
      </c>
      <c r="Z45" t="s">
        <v>2883</v>
      </c>
      <c r="AA45" t="s">
        <v>3333</v>
      </c>
    </row>
    <row r="46" spans="1:27" x14ac:dyDescent="0.35">
      <c r="A46" s="329" t="s">
        <v>144</v>
      </c>
      <c r="B46" t="s">
        <v>145</v>
      </c>
      <c r="C46" s="325" t="s">
        <v>3504</v>
      </c>
      <c r="D46" s="329" t="str">
        <f t="shared" si="0"/>
        <v>NACE A - 02.20 Logging</v>
      </c>
      <c r="E46" s="326" t="s">
        <v>4385</v>
      </c>
      <c r="F46" t="s">
        <v>146</v>
      </c>
      <c r="G46" t="str">
        <f t="shared" si="1"/>
        <v>CH</v>
      </c>
      <c r="I46" t="s">
        <v>4593</v>
      </c>
      <c r="K46" t="s">
        <v>2492</v>
      </c>
      <c r="S46">
        <v>2044</v>
      </c>
      <c r="Z46" t="s">
        <v>2884</v>
      </c>
      <c r="AA46" t="s">
        <v>3334</v>
      </c>
    </row>
    <row r="47" spans="1:27" x14ac:dyDescent="0.35">
      <c r="A47" s="328" t="s">
        <v>147</v>
      </c>
      <c r="B47" t="s">
        <v>148</v>
      </c>
      <c r="C47" s="328" t="s">
        <v>3505</v>
      </c>
      <c r="D47" s="328" t="str">
        <f t="shared" si="0"/>
        <v>NACE A - 02.3 Gathering of wild growing non-wood products</v>
      </c>
      <c r="E47" s="326" t="s">
        <v>149</v>
      </c>
      <c r="F47" t="s">
        <v>150</v>
      </c>
      <c r="G47" t="str">
        <f t="shared" si="1"/>
        <v>CI</v>
      </c>
      <c r="I47" t="s">
        <v>4594</v>
      </c>
      <c r="K47" t="s">
        <v>2493</v>
      </c>
      <c r="S47">
        <v>2045</v>
      </c>
      <c r="Z47" t="s">
        <v>2885</v>
      </c>
      <c r="AA47" t="s">
        <v>3335</v>
      </c>
    </row>
    <row r="48" spans="1:27" x14ac:dyDescent="0.35">
      <c r="A48" s="329" t="s">
        <v>151</v>
      </c>
      <c r="B48" t="s">
        <v>152</v>
      </c>
      <c r="C48" s="325" t="s">
        <v>3506</v>
      </c>
      <c r="D48" s="329" t="str">
        <f t="shared" si="0"/>
        <v>NACE A - 02.30 Gathering of wild growing non-wood products</v>
      </c>
      <c r="E48" s="326" t="s">
        <v>4386</v>
      </c>
      <c r="F48" t="s">
        <v>153</v>
      </c>
      <c r="G48" t="str">
        <f t="shared" si="1"/>
        <v>CK</v>
      </c>
      <c r="I48" t="s">
        <v>4595</v>
      </c>
      <c r="K48" t="s">
        <v>2494</v>
      </c>
      <c r="S48">
        <v>2046</v>
      </c>
      <c r="Z48" t="s">
        <v>2886</v>
      </c>
      <c r="AA48" t="s">
        <v>3336</v>
      </c>
    </row>
    <row r="49" spans="1:27" x14ac:dyDescent="0.35">
      <c r="A49" s="328" t="s">
        <v>154</v>
      </c>
      <c r="B49" t="s">
        <v>155</v>
      </c>
      <c r="C49" s="328" t="s">
        <v>3507</v>
      </c>
      <c r="D49" s="328" t="str">
        <f t="shared" si="0"/>
        <v>NACE A - 02.4 Support services to forestry</v>
      </c>
      <c r="E49" s="326" t="s">
        <v>4387</v>
      </c>
      <c r="F49" t="s">
        <v>156</v>
      </c>
      <c r="G49" t="str">
        <f t="shared" si="1"/>
        <v>CL</v>
      </c>
      <c r="I49" t="s">
        <v>4596</v>
      </c>
      <c r="K49" t="s">
        <v>2495</v>
      </c>
      <c r="S49">
        <v>2047</v>
      </c>
      <c r="Z49" t="s">
        <v>2887</v>
      </c>
      <c r="AA49" t="s">
        <v>3337</v>
      </c>
    </row>
    <row r="50" spans="1:27" x14ac:dyDescent="0.35">
      <c r="A50" s="329" t="s">
        <v>157</v>
      </c>
      <c r="B50" t="s">
        <v>158</v>
      </c>
      <c r="C50" s="325" t="s">
        <v>3508</v>
      </c>
      <c r="D50" s="329" t="str">
        <f t="shared" si="0"/>
        <v>NACE A - 02.40 Support services to forestry</v>
      </c>
      <c r="E50" s="326" t="s">
        <v>4388</v>
      </c>
      <c r="F50" t="s">
        <v>159</v>
      </c>
      <c r="G50" t="str">
        <f t="shared" si="1"/>
        <v>CM</v>
      </c>
      <c r="I50" t="s">
        <v>4597</v>
      </c>
      <c r="K50" t="s">
        <v>2496</v>
      </c>
      <c r="S50">
        <v>2048</v>
      </c>
      <c r="Z50" t="s">
        <v>2888</v>
      </c>
      <c r="AA50" t="s">
        <v>3338</v>
      </c>
    </row>
    <row r="51" spans="1:27" x14ac:dyDescent="0.35">
      <c r="A51" s="325" t="s">
        <v>160</v>
      </c>
      <c r="B51" t="s">
        <v>161</v>
      </c>
      <c r="C51" s="328" t="s">
        <v>3509</v>
      </c>
      <c r="D51" s="325" t="str">
        <f t="shared" si="0"/>
        <v>NACE A - 03 Fishing and aquaculture</v>
      </c>
      <c r="E51" s="326" t="s">
        <v>4389</v>
      </c>
      <c r="F51" t="s">
        <v>162</v>
      </c>
      <c r="G51" t="str">
        <f t="shared" si="1"/>
        <v>CN</v>
      </c>
      <c r="I51" t="s">
        <v>2430</v>
      </c>
      <c r="K51" t="s">
        <v>2855</v>
      </c>
      <c r="S51">
        <v>2049</v>
      </c>
      <c r="Z51" t="s">
        <v>2889</v>
      </c>
      <c r="AA51" t="s">
        <v>3339</v>
      </c>
    </row>
    <row r="52" spans="1:27" x14ac:dyDescent="0.35">
      <c r="A52" s="328" t="s">
        <v>163</v>
      </c>
      <c r="B52" t="s">
        <v>164</v>
      </c>
      <c r="C52" s="328" t="s">
        <v>3510</v>
      </c>
      <c r="D52" s="328" t="str">
        <f t="shared" si="0"/>
        <v>NACE A - 03.1 Fishing</v>
      </c>
      <c r="E52" s="326" t="s">
        <v>4390</v>
      </c>
      <c r="F52" t="s">
        <v>165</v>
      </c>
      <c r="G52" t="str">
        <f t="shared" si="1"/>
        <v>CO</v>
      </c>
      <c r="I52" t="s">
        <v>4598</v>
      </c>
      <c r="K52" t="s">
        <v>2497</v>
      </c>
      <c r="S52">
        <v>2050</v>
      </c>
      <c r="Z52" t="s">
        <v>2446</v>
      </c>
      <c r="AA52" t="s">
        <v>3340</v>
      </c>
    </row>
    <row r="53" spans="1:27" x14ac:dyDescent="0.35">
      <c r="A53" s="329" t="s">
        <v>166</v>
      </c>
      <c r="B53" t="s">
        <v>167</v>
      </c>
      <c r="C53" s="328" t="s">
        <v>3511</v>
      </c>
      <c r="D53" s="329" t="str">
        <f t="shared" si="0"/>
        <v>NACE A - 03.11 Marine fishing</v>
      </c>
      <c r="E53" s="326" t="s">
        <v>168</v>
      </c>
      <c r="F53" t="s">
        <v>169</v>
      </c>
      <c r="G53" t="str">
        <f t="shared" si="1"/>
        <v>CR</v>
      </c>
      <c r="I53" t="s">
        <v>2429</v>
      </c>
      <c r="K53" t="s">
        <v>2498</v>
      </c>
      <c r="S53">
        <v>2051</v>
      </c>
      <c r="Z53" t="s">
        <v>2890</v>
      </c>
      <c r="AA53" t="s">
        <v>3341</v>
      </c>
    </row>
    <row r="54" spans="1:27" x14ac:dyDescent="0.35">
      <c r="A54" s="329" t="s">
        <v>170</v>
      </c>
      <c r="B54" t="s">
        <v>171</v>
      </c>
      <c r="C54" s="328" t="s">
        <v>3512</v>
      </c>
      <c r="D54" s="329" t="str">
        <f t="shared" si="0"/>
        <v>NACE A - 03.12 Freshwater fishing</v>
      </c>
      <c r="E54" s="326" t="s">
        <v>4531</v>
      </c>
      <c r="F54" t="s">
        <v>172</v>
      </c>
      <c r="G54" t="str">
        <f t="shared" si="1"/>
        <v>CS</v>
      </c>
      <c r="I54" t="s">
        <v>4599</v>
      </c>
      <c r="K54" t="s">
        <v>2499</v>
      </c>
      <c r="S54">
        <v>2052</v>
      </c>
      <c r="Z54" t="s">
        <v>2891</v>
      </c>
      <c r="AA54" t="s">
        <v>3342</v>
      </c>
    </row>
    <row r="55" spans="1:27" x14ac:dyDescent="0.35">
      <c r="A55" s="328" t="s">
        <v>173</v>
      </c>
      <c r="B55" t="s">
        <v>174</v>
      </c>
      <c r="C55" s="325" t="s">
        <v>3513</v>
      </c>
      <c r="D55" s="328" t="str">
        <f t="shared" si="0"/>
        <v>NACE A - 03.2 Aquaculture</v>
      </c>
      <c r="E55" s="326" t="s">
        <v>175</v>
      </c>
      <c r="F55" t="s">
        <v>176</v>
      </c>
      <c r="G55" t="str">
        <f t="shared" si="1"/>
        <v>CU</v>
      </c>
      <c r="I55" t="s">
        <v>4600</v>
      </c>
      <c r="K55" t="s">
        <v>2500</v>
      </c>
      <c r="S55">
        <v>2053</v>
      </c>
      <c r="Z55" t="s">
        <v>2892</v>
      </c>
      <c r="AA55" t="s">
        <v>3343</v>
      </c>
    </row>
    <row r="56" spans="1:27" x14ac:dyDescent="0.35">
      <c r="A56" s="329" t="s">
        <v>177</v>
      </c>
      <c r="B56" t="s">
        <v>178</v>
      </c>
      <c r="C56" s="328" t="s">
        <v>3514</v>
      </c>
      <c r="D56" s="329" t="str">
        <f t="shared" si="0"/>
        <v>NACE A - 03.21 Marine aquaculture</v>
      </c>
      <c r="E56" s="326" t="s">
        <v>4391</v>
      </c>
      <c r="F56" t="s">
        <v>179</v>
      </c>
      <c r="G56" t="str">
        <f t="shared" si="1"/>
        <v>CV</v>
      </c>
      <c r="I56" t="s">
        <v>2428</v>
      </c>
      <c r="K56" t="s">
        <v>2856</v>
      </c>
      <c r="S56">
        <v>2054</v>
      </c>
      <c r="Z56" t="s">
        <v>2893</v>
      </c>
      <c r="AA56" t="s">
        <v>3344</v>
      </c>
    </row>
    <row r="57" spans="1:27" x14ac:dyDescent="0.35">
      <c r="A57" s="329" t="s">
        <v>180</v>
      </c>
      <c r="B57" t="s">
        <v>181</v>
      </c>
      <c r="C57" s="328" t="s">
        <v>3515</v>
      </c>
      <c r="D57" s="329" t="str">
        <f t="shared" si="0"/>
        <v>NACE A - 03.22 Freshwater aquaculture</v>
      </c>
      <c r="E57" s="326" t="s">
        <v>182</v>
      </c>
      <c r="F57" t="s">
        <v>183</v>
      </c>
      <c r="G57" t="str">
        <f t="shared" si="1"/>
        <v>CW</v>
      </c>
      <c r="I57" t="s">
        <v>4855</v>
      </c>
      <c r="K57" t="s">
        <v>2501</v>
      </c>
      <c r="S57">
        <v>2055</v>
      </c>
      <c r="Z57" t="s">
        <v>2894</v>
      </c>
      <c r="AA57" t="s">
        <v>3345</v>
      </c>
    </row>
    <row r="58" spans="1:27" x14ac:dyDescent="0.35">
      <c r="A58" s="328" t="s">
        <v>184</v>
      </c>
      <c r="B58" t="s">
        <v>185</v>
      </c>
      <c r="C58" s="325" t="s">
        <v>3516</v>
      </c>
      <c r="D58" s="328" t="str">
        <f t="shared" si="0"/>
        <v>NACE A - 03.3 Support activities for fishing and aquaculture</v>
      </c>
      <c r="E58" s="326" t="s">
        <v>4392</v>
      </c>
      <c r="F58" t="s">
        <v>186</v>
      </c>
      <c r="G58" t="str">
        <f t="shared" si="1"/>
        <v>CX</v>
      </c>
      <c r="I58" t="s">
        <v>4601</v>
      </c>
      <c r="K58" t="s">
        <v>2502</v>
      </c>
      <c r="S58">
        <v>2056</v>
      </c>
      <c r="Z58" t="s">
        <v>2447</v>
      </c>
      <c r="AA58" t="s">
        <v>3346</v>
      </c>
    </row>
    <row r="59" spans="1:27" x14ac:dyDescent="0.35">
      <c r="A59" s="329" t="s">
        <v>187</v>
      </c>
      <c r="B59" t="s">
        <v>188</v>
      </c>
      <c r="C59" s="328" t="s">
        <v>3517</v>
      </c>
      <c r="D59" s="329" t="str">
        <f t="shared" si="0"/>
        <v>NACE A - 03.30 Support activities for fishing and aquaculture</v>
      </c>
      <c r="E59" s="326" t="s">
        <v>4393</v>
      </c>
      <c r="F59" t="s">
        <v>189</v>
      </c>
      <c r="G59" t="str">
        <f t="shared" si="1"/>
        <v>CY</v>
      </c>
      <c r="I59" t="s">
        <v>4602</v>
      </c>
      <c r="K59" t="s">
        <v>2503</v>
      </c>
      <c r="S59">
        <v>2057</v>
      </c>
      <c r="Z59" t="s">
        <v>2895</v>
      </c>
      <c r="AA59" t="s">
        <v>3347</v>
      </c>
    </row>
    <row r="60" spans="1:27" x14ac:dyDescent="0.35">
      <c r="A60" s="326" t="s">
        <v>190</v>
      </c>
      <c r="B60" t="s">
        <v>191</v>
      </c>
      <c r="C60" s="328" t="s">
        <v>3518</v>
      </c>
      <c r="D60" s="326" t="str">
        <f t="shared" si="0"/>
        <v>NACE B - MINING AND QUARRYING</v>
      </c>
      <c r="E60" s="326" t="s">
        <v>4394</v>
      </c>
      <c r="F60" t="s">
        <v>192</v>
      </c>
      <c r="G60" t="str">
        <f t="shared" si="1"/>
        <v>CZ</v>
      </c>
      <c r="I60" t="s">
        <v>4603</v>
      </c>
      <c r="K60" t="s">
        <v>2857</v>
      </c>
      <c r="S60">
        <v>2058</v>
      </c>
      <c r="Z60" t="s">
        <v>2448</v>
      </c>
      <c r="AA60" t="s">
        <v>3348</v>
      </c>
    </row>
    <row r="61" spans="1:27" x14ac:dyDescent="0.35">
      <c r="A61" s="325" t="s">
        <v>193</v>
      </c>
      <c r="B61" t="s">
        <v>194</v>
      </c>
      <c r="C61" s="329" t="s">
        <v>3519</v>
      </c>
      <c r="D61" s="325" t="str">
        <f t="shared" si="0"/>
        <v>NACE B - 04 Mining of coal and lignite</v>
      </c>
      <c r="E61" s="326" t="s">
        <v>4395</v>
      </c>
      <c r="F61" t="s">
        <v>195</v>
      </c>
      <c r="G61" t="str">
        <f t="shared" si="1"/>
        <v>DE</v>
      </c>
      <c r="I61" t="s">
        <v>4604</v>
      </c>
      <c r="K61" t="s">
        <v>2504</v>
      </c>
      <c r="S61">
        <v>2059</v>
      </c>
      <c r="Z61" t="s">
        <v>2896</v>
      </c>
      <c r="AA61" t="s">
        <v>3349</v>
      </c>
    </row>
    <row r="62" spans="1:27" x14ac:dyDescent="0.35">
      <c r="A62" s="328" t="s">
        <v>196</v>
      </c>
      <c r="B62" t="s">
        <v>197</v>
      </c>
      <c r="C62" s="325" t="s">
        <v>3520</v>
      </c>
      <c r="D62" s="328" t="str">
        <f t="shared" si="0"/>
        <v>NACE B - 05.1 Mining of hard coal</v>
      </c>
      <c r="E62" s="326" t="s">
        <v>198</v>
      </c>
      <c r="F62" t="s">
        <v>199</v>
      </c>
      <c r="G62" t="str">
        <f t="shared" si="1"/>
        <v>DJ</v>
      </c>
      <c r="I62" t="s">
        <v>4605</v>
      </c>
      <c r="K62" t="s">
        <v>2505</v>
      </c>
      <c r="S62">
        <v>2060</v>
      </c>
      <c r="Z62" t="s">
        <v>2897</v>
      </c>
      <c r="AA62" t="s">
        <v>3350</v>
      </c>
    </row>
    <row r="63" spans="1:27" x14ac:dyDescent="0.35">
      <c r="A63" s="329" t="s">
        <v>200</v>
      </c>
      <c r="B63" t="s">
        <v>201</v>
      </c>
      <c r="C63" s="328" t="s">
        <v>3521</v>
      </c>
      <c r="D63" s="329" t="str">
        <f t="shared" si="0"/>
        <v>NACE B - 05.10 Mining of hard coal</v>
      </c>
      <c r="E63" s="326" t="s">
        <v>4396</v>
      </c>
      <c r="F63" t="s">
        <v>202</v>
      </c>
      <c r="G63" t="str">
        <f t="shared" si="1"/>
        <v>DK</v>
      </c>
      <c r="I63" t="s">
        <v>4606</v>
      </c>
      <c r="K63" t="s">
        <v>2506</v>
      </c>
      <c r="S63">
        <v>2061</v>
      </c>
      <c r="Z63" t="s">
        <v>2898</v>
      </c>
      <c r="AA63" t="s">
        <v>3351</v>
      </c>
    </row>
    <row r="64" spans="1:27" x14ac:dyDescent="0.35">
      <c r="A64" s="328" t="s">
        <v>203</v>
      </c>
      <c r="B64" t="s">
        <v>204</v>
      </c>
      <c r="C64" s="328" t="s">
        <v>3522</v>
      </c>
      <c r="D64" s="328" t="str">
        <f t="shared" si="0"/>
        <v>NACE B - 05.2 Mining of lignite</v>
      </c>
      <c r="E64" s="326" t="s">
        <v>4397</v>
      </c>
      <c r="F64" t="s">
        <v>205</v>
      </c>
      <c r="G64" t="str">
        <f t="shared" si="1"/>
        <v>DM</v>
      </c>
      <c r="I64" t="s">
        <v>4607</v>
      </c>
      <c r="K64" t="s">
        <v>2507</v>
      </c>
      <c r="S64">
        <v>2062</v>
      </c>
      <c r="Z64" t="s">
        <v>2899</v>
      </c>
      <c r="AA64" t="s">
        <v>3352</v>
      </c>
    </row>
    <row r="65" spans="1:27" x14ac:dyDescent="0.35">
      <c r="A65" s="329" t="s">
        <v>206</v>
      </c>
      <c r="B65" t="s">
        <v>207</v>
      </c>
      <c r="C65" s="325" t="s">
        <v>3523</v>
      </c>
      <c r="D65" s="329" t="str">
        <f t="shared" si="0"/>
        <v>NACE B - 05.20 Mining of lignite</v>
      </c>
      <c r="E65" s="326" t="s">
        <v>4398</v>
      </c>
      <c r="F65" t="s">
        <v>208</v>
      </c>
      <c r="G65" t="str">
        <f t="shared" si="1"/>
        <v>DO</v>
      </c>
      <c r="I65" t="s">
        <v>4608</v>
      </c>
      <c r="K65" t="s">
        <v>2858</v>
      </c>
      <c r="S65">
        <v>2063</v>
      </c>
      <c r="Z65" t="s">
        <v>2900</v>
      </c>
      <c r="AA65" t="s">
        <v>3353</v>
      </c>
    </row>
    <row r="66" spans="1:27" x14ac:dyDescent="0.35">
      <c r="A66" s="325" t="s">
        <v>209</v>
      </c>
      <c r="B66" t="s">
        <v>210</v>
      </c>
      <c r="C66" s="328" t="s">
        <v>3524</v>
      </c>
      <c r="D66" s="325" t="str">
        <f t="shared" ref="D66:D129" si="2">_xlfn.CONCAT("NACE ", A66)</f>
        <v>NACE B - 05 Extraction of crude petroleum and natural gas</v>
      </c>
      <c r="E66" s="326" t="s">
        <v>4399</v>
      </c>
      <c r="F66" t="s">
        <v>211</v>
      </c>
      <c r="G66" t="str">
        <f t="shared" si="1"/>
        <v>DZ</v>
      </c>
      <c r="I66" t="s">
        <v>4609</v>
      </c>
      <c r="K66" t="s">
        <v>2508</v>
      </c>
      <c r="S66">
        <v>2064</v>
      </c>
      <c r="Z66" t="s">
        <v>2901</v>
      </c>
      <c r="AA66" t="s">
        <v>3354</v>
      </c>
    </row>
    <row r="67" spans="1:27" x14ac:dyDescent="0.35">
      <c r="A67" s="328" t="s">
        <v>212</v>
      </c>
      <c r="B67" t="s">
        <v>213</v>
      </c>
      <c r="C67" s="328" t="s">
        <v>3525</v>
      </c>
      <c r="D67" s="328" t="str">
        <f t="shared" si="2"/>
        <v>NACE B - 06.1 Extraction of crude petroleum</v>
      </c>
      <c r="E67" s="390" t="s">
        <v>4410</v>
      </c>
      <c r="F67" t="s">
        <v>214</v>
      </c>
      <c r="G67" t="str">
        <f t="shared" ref="G67:G130" si="3">RIGHT(F67,2)</f>
        <v>EC</v>
      </c>
      <c r="I67" t="s">
        <v>4610</v>
      </c>
      <c r="K67" t="s">
        <v>2509</v>
      </c>
      <c r="S67">
        <v>2065</v>
      </c>
      <c r="Z67" t="s">
        <v>2902</v>
      </c>
      <c r="AA67" t="s">
        <v>3355</v>
      </c>
    </row>
    <row r="68" spans="1:27" x14ac:dyDescent="0.35">
      <c r="A68" s="329" t="s">
        <v>215</v>
      </c>
      <c r="B68" t="s">
        <v>216</v>
      </c>
      <c r="C68" s="325" t="s">
        <v>3526</v>
      </c>
      <c r="D68" s="329" t="str">
        <f t="shared" si="2"/>
        <v>NACE B - 06.10 Extraction of crude petroleum</v>
      </c>
      <c r="E68" s="326" t="s">
        <v>4400</v>
      </c>
      <c r="F68" t="s">
        <v>217</v>
      </c>
      <c r="G68" t="str">
        <f t="shared" si="3"/>
        <v>EE</v>
      </c>
      <c r="I68" t="s">
        <v>4611</v>
      </c>
      <c r="K68" t="s">
        <v>2510</v>
      </c>
      <c r="S68">
        <v>2066</v>
      </c>
      <c r="Z68" t="s">
        <v>2903</v>
      </c>
      <c r="AA68" t="s">
        <v>3356</v>
      </c>
    </row>
    <row r="69" spans="1:27" x14ac:dyDescent="0.35">
      <c r="A69" s="328" t="s">
        <v>218</v>
      </c>
      <c r="B69" t="s">
        <v>219</v>
      </c>
      <c r="C69" s="328" t="s">
        <v>3527</v>
      </c>
      <c r="D69" s="328" t="str">
        <f t="shared" si="2"/>
        <v>NACE B - 06.2 Extraction of natural gas</v>
      </c>
      <c r="E69" s="326" t="s">
        <v>4401</v>
      </c>
      <c r="F69" t="s">
        <v>220</v>
      </c>
      <c r="G69" t="str">
        <f t="shared" si="3"/>
        <v>EG</v>
      </c>
      <c r="I69" t="s">
        <v>4612</v>
      </c>
      <c r="K69" t="s">
        <v>2511</v>
      </c>
      <c r="S69">
        <v>2067</v>
      </c>
      <c r="Z69" t="s">
        <v>2904</v>
      </c>
      <c r="AA69" t="s">
        <v>3357</v>
      </c>
    </row>
    <row r="70" spans="1:27" x14ac:dyDescent="0.35">
      <c r="A70" s="329" t="s">
        <v>221</v>
      </c>
      <c r="B70" t="s">
        <v>222</v>
      </c>
      <c r="C70" s="328" t="s">
        <v>3528</v>
      </c>
      <c r="D70" s="329" t="str">
        <f t="shared" si="2"/>
        <v>NACE B - 06.20 Extraction of natural gas</v>
      </c>
      <c r="E70" s="326" t="s">
        <v>4402</v>
      </c>
      <c r="F70" t="s">
        <v>223</v>
      </c>
      <c r="G70" t="str">
        <f t="shared" si="3"/>
        <v>EH</v>
      </c>
      <c r="I70" t="s">
        <v>4613</v>
      </c>
      <c r="K70" t="s">
        <v>2512</v>
      </c>
      <c r="S70">
        <v>2068</v>
      </c>
      <c r="Z70" t="s">
        <v>2905</v>
      </c>
      <c r="AA70" t="s">
        <v>3358</v>
      </c>
    </row>
    <row r="71" spans="1:27" x14ac:dyDescent="0.35">
      <c r="A71" s="325" t="s">
        <v>224</v>
      </c>
      <c r="B71" t="s">
        <v>225</v>
      </c>
      <c r="C71" s="325" t="s">
        <v>3529</v>
      </c>
      <c r="D71" s="325" t="str">
        <f t="shared" si="2"/>
        <v>NACE B - 06 Mining of metal ores</v>
      </c>
      <c r="E71" s="326" t="s">
        <v>4403</v>
      </c>
      <c r="F71" t="s">
        <v>226</v>
      </c>
      <c r="G71" t="str">
        <f t="shared" si="3"/>
        <v>ER</v>
      </c>
      <c r="I71" t="s">
        <v>4614</v>
      </c>
      <c r="K71" t="s">
        <v>2513</v>
      </c>
      <c r="S71">
        <v>2069</v>
      </c>
      <c r="Z71" t="s">
        <v>2906</v>
      </c>
      <c r="AA71" t="s">
        <v>3359</v>
      </c>
    </row>
    <row r="72" spans="1:27" x14ac:dyDescent="0.35">
      <c r="A72" s="328" t="s">
        <v>227</v>
      </c>
      <c r="B72" t="s">
        <v>228</v>
      </c>
      <c r="C72" s="328" t="s">
        <v>3530</v>
      </c>
      <c r="D72" s="328" t="str">
        <f t="shared" si="2"/>
        <v>NACE B - 07.1 Mining of iron ores</v>
      </c>
      <c r="E72" s="326" t="s">
        <v>4404</v>
      </c>
      <c r="F72" t="s">
        <v>229</v>
      </c>
      <c r="G72" t="str">
        <f t="shared" si="3"/>
        <v>ES</v>
      </c>
      <c r="I72" t="s">
        <v>4615</v>
      </c>
      <c r="K72" t="s">
        <v>2441</v>
      </c>
      <c r="S72">
        <v>2070</v>
      </c>
      <c r="Z72" t="s">
        <v>2907</v>
      </c>
      <c r="AA72" t="s">
        <v>3360</v>
      </c>
    </row>
    <row r="73" spans="1:27" x14ac:dyDescent="0.35">
      <c r="A73" s="329" t="s">
        <v>230</v>
      </c>
      <c r="B73" t="s">
        <v>231</v>
      </c>
      <c r="C73" s="328" t="s">
        <v>3531</v>
      </c>
      <c r="D73" s="329" t="str">
        <f t="shared" si="2"/>
        <v>NACE B - 07.10 Mining of iron ores</v>
      </c>
      <c r="E73" s="326" t="s">
        <v>4405</v>
      </c>
      <c r="F73" t="s">
        <v>232</v>
      </c>
      <c r="G73" t="str">
        <f t="shared" si="3"/>
        <v>ET</v>
      </c>
      <c r="I73" t="s">
        <v>4616</v>
      </c>
      <c r="K73" t="s">
        <v>2859</v>
      </c>
      <c r="S73">
        <v>2071</v>
      </c>
      <c r="Z73" t="s">
        <v>2908</v>
      </c>
      <c r="AA73" t="s">
        <v>3361</v>
      </c>
    </row>
    <row r="74" spans="1:27" x14ac:dyDescent="0.35">
      <c r="A74" s="328" t="s">
        <v>233</v>
      </c>
      <c r="B74" t="s">
        <v>234</v>
      </c>
      <c r="C74" s="325" t="s">
        <v>3532</v>
      </c>
      <c r="D74" s="328" t="str">
        <f t="shared" si="2"/>
        <v>NACE B - 07.2 Mining of non-ferrous metal ores</v>
      </c>
      <c r="E74" s="326" t="s">
        <v>4406</v>
      </c>
      <c r="F74" t="s">
        <v>235</v>
      </c>
      <c r="G74" t="str">
        <f t="shared" si="3"/>
        <v>FI</v>
      </c>
      <c r="I74" t="s">
        <v>4617</v>
      </c>
      <c r="K74" t="s">
        <v>2977</v>
      </c>
      <c r="S74">
        <v>2072</v>
      </c>
      <c r="Z74" t="s">
        <v>2449</v>
      </c>
      <c r="AA74" t="s">
        <v>3362</v>
      </c>
    </row>
    <row r="75" spans="1:27" x14ac:dyDescent="0.35">
      <c r="A75" s="329" t="s">
        <v>236</v>
      </c>
      <c r="B75" t="s">
        <v>237</v>
      </c>
      <c r="C75" s="328" t="s">
        <v>3533</v>
      </c>
      <c r="D75" s="329" t="str">
        <f t="shared" si="2"/>
        <v>NACE B - 07.21 Mining of uranium and thorium ores</v>
      </c>
      <c r="E75" s="326" t="s">
        <v>4407</v>
      </c>
      <c r="F75" t="s">
        <v>238</v>
      </c>
      <c r="G75" t="str">
        <f t="shared" si="3"/>
        <v>FJ</v>
      </c>
      <c r="I75" t="s">
        <v>2427</v>
      </c>
      <c r="K75" t="s">
        <v>2978</v>
      </c>
      <c r="S75">
        <v>2073</v>
      </c>
      <c r="Z75" t="s">
        <v>2909</v>
      </c>
      <c r="AA75" t="s">
        <v>3363</v>
      </c>
    </row>
    <row r="76" spans="1:27" x14ac:dyDescent="0.35">
      <c r="A76" s="329" t="s">
        <v>239</v>
      </c>
      <c r="B76" t="s">
        <v>240</v>
      </c>
      <c r="C76" s="328" t="s">
        <v>3534</v>
      </c>
      <c r="D76" s="329" t="str">
        <f t="shared" si="2"/>
        <v>NACE B - 07.29 Mining of other non-ferrous metal ores</v>
      </c>
      <c r="E76" s="326" t="s">
        <v>4408</v>
      </c>
      <c r="F76" t="s">
        <v>241</v>
      </c>
      <c r="G76" t="str">
        <f t="shared" si="3"/>
        <v>FK</v>
      </c>
      <c r="I76" t="s">
        <v>4618</v>
      </c>
      <c r="K76" t="s">
        <v>2979</v>
      </c>
      <c r="S76">
        <v>2074</v>
      </c>
      <c r="Z76" t="s">
        <v>2910</v>
      </c>
      <c r="AA76" t="s">
        <v>3364</v>
      </c>
    </row>
    <row r="77" spans="1:27" x14ac:dyDescent="0.35">
      <c r="A77" s="325" t="s">
        <v>242</v>
      </c>
      <c r="B77" t="s">
        <v>243</v>
      </c>
      <c r="C77" s="328" t="s">
        <v>3535</v>
      </c>
      <c r="D77" s="325" t="str">
        <f t="shared" si="2"/>
        <v>NACE B - 07 Other mining and quarrying</v>
      </c>
      <c r="E77" s="326" t="s">
        <v>4409</v>
      </c>
      <c r="F77" t="s">
        <v>244</v>
      </c>
      <c r="G77" t="str">
        <f t="shared" si="3"/>
        <v>FM</v>
      </c>
      <c r="I77" t="s">
        <v>4619</v>
      </c>
      <c r="K77" t="s">
        <v>2980</v>
      </c>
      <c r="S77">
        <v>2075</v>
      </c>
      <c r="Z77" t="s">
        <v>2911</v>
      </c>
      <c r="AA77" t="s">
        <v>3365</v>
      </c>
    </row>
    <row r="78" spans="1:27" x14ac:dyDescent="0.35">
      <c r="A78" s="328" t="s">
        <v>245</v>
      </c>
      <c r="B78" t="s">
        <v>246</v>
      </c>
      <c r="C78" s="328" t="s">
        <v>3536</v>
      </c>
      <c r="D78" s="328" t="str">
        <f t="shared" si="2"/>
        <v>NACE B - 08.1 Quarrying of stone, sand and clay</v>
      </c>
      <c r="E78" s="326" t="s">
        <v>4411</v>
      </c>
      <c r="F78" t="s">
        <v>247</v>
      </c>
      <c r="G78" t="str">
        <f t="shared" si="3"/>
        <v>FO</v>
      </c>
      <c r="I78" t="s">
        <v>4620</v>
      </c>
      <c r="K78" t="s">
        <v>2860</v>
      </c>
      <c r="S78">
        <v>2076</v>
      </c>
      <c r="Z78" t="s">
        <v>2912</v>
      </c>
      <c r="AA78" t="s">
        <v>3366</v>
      </c>
    </row>
    <row r="79" spans="1:27" x14ac:dyDescent="0.35">
      <c r="A79" s="329" t="s">
        <v>248</v>
      </c>
      <c r="B79" t="s">
        <v>249</v>
      </c>
      <c r="C79" s="328" t="s">
        <v>3537</v>
      </c>
      <c r="D79" s="329" t="str">
        <f t="shared" si="2"/>
        <v>NACE B - 08.11 Quarrying of ornamental stone, limestone, gypsum, slate and other stone</v>
      </c>
      <c r="E79" s="326" t="s">
        <v>250</v>
      </c>
      <c r="F79" t="s">
        <v>251</v>
      </c>
      <c r="G79" t="str">
        <f t="shared" si="3"/>
        <v>FR</v>
      </c>
      <c r="I79" t="s">
        <v>4621</v>
      </c>
      <c r="K79" t="s">
        <v>2514</v>
      </c>
      <c r="S79">
        <v>2077</v>
      </c>
      <c r="Z79" t="s">
        <v>2450</v>
      </c>
      <c r="AA79" t="s">
        <v>3367</v>
      </c>
    </row>
    <row r="80" spans="1:27" x14ac:dyDescent="0.35">
      <c r="A80" s="329" t="s">
        <v>252</v>
      </c>
      <c r="B80" t="s">
        <v>253</v>
      </c>
      <c r="C80" s="328" t="s">
        <v>3538</v>
      </c>
      <c r="D80" s="329" t="str">
        <f t="shared" si="2"/>
        <v>NACE B - 08.12 Operation of gravel and sand pits and mining of clay and kaolin</v>
      </c>
      <c r="E80" s="326" t="s">
        <v>254</v>
      </c>
      <c r="F80" t="s">
        <v>255</v>
      </c>
      <c r="G80" t="str">
        <f t="shared" si="3"/>
        <v>GA</v>
      </c>
      <c r="I80" t="s">
        <v>4622</v>
      </c>
      <c r="K80" t="s">
        <v>2515</v>
      </c>
      <c r="S80">
        <v>2078</v>
      </c>
      <c r="Z80" t="s">
        <v>2913</v>
      </c>
      <c r="AA80" t="s">
        <v>3368</v>
      </c>
    </row>
    <row r="81" spans="1:27" x14ac:dyDescent="0.35">
      <c r="A81" s="328" t="s">
        <v>256</v>
      </c>
      <c r="B81" t="s">
        <v>257</v>
      </c>
      <c r="C81" s="325" t="s">
        <v>3539</v>
      </c>
      <c r="D81" s="328" t="str">
        <f t="shared" si="2"/>
        <v>NACE B - 08.9 Mining and quarrying n.e.c.</v>
      </c>
      <c r="E81" s="326" t="s">
        <v>4412</v>
      </c>
      <c r="F81" t="s">
        <v>258</v>
      </c>
      <c r="G81" t="str">
        <f t="shared" si="3"/>
        <v>GB</v>
      </c>
      <c r="I81" t="s">
        <v>4623</v>
      </c>
      <c r="K81" t="s">
        <v>2516</v>
      </c>
      <c r="S81">
        <v>2079</v>
      </c>
      <c r="Z81" t="s">
        <v>2914</v>
      </c>
      <c r="AA81" t="s">
        <v>3369</v>
      </c>
    </row>
    <row r="82" spans="1:27" x14ac:dyDescent="0.35">
      <c r="A82" s="329" t="s">
        <v>259</v>
      </c>
      <c r="B82" t="s">
        <v>260</v>
      </c>
      <c r="C82" s="328" t="s">
        <v>3540</v>
      </c>
      <c r="D82" s="329" t="str">
        <f t="shared" si="2"/>
        <v>NACE B - 08.91 Mining of chemical and fertiliser minerals</v>
      </c>
      <c r="E82" s="326" t="s">
        <v>4413</v>
      </c>
      <c r="F82" t="s">
        <v>261</v>
      </c>
      <c r="G82" t="str">
        <f t="shared" si="3"/>
        <v>GD</v>
      </c>
      <c r="I82" t="s">
        <v>4624</v>
      </c>
      <c r="K82" t="s">
        <v>2517</v>
      </c>
      <c r="S82">
        <v>2080</v>
      </c>
      <c r="Z82" t="s">
        <v>2915</v>
      </c>
      <c r="AA82" t="s">
        <v>3370</v>
      </c>
    </row>
    <row r="83" spans="1:27" x14ac:dyDescent="0.35">
      <c r="A83" s="329" t="s">
        <v>262</v>
      </c>
      <c r="B83" t="s">
        <v>263</v>
      </c>
      <c r="C83" s="328" t="s">
        <v>3541</v>
      </c>
      <c r="D83" s="329" t="str">
        <f t="shared" si="2"/>
        <v>NACE B - 08.92 Extraction of peat</v>
      </c>
      <c r="E83" s="326" t="s">
        <v>4414</v>
      </c>
      <c r="F83" t="s">
        <v>264</v>
      </c>
      <c r="G83" t="str">
        <f t="shared" si="3"/>
        <v>GE</v>
      </c>
      <c r="I83" t="s">
        <v>4625</v>
      </c>
      <c r="K83" t="s">
        <v>2861</v>
      </c>
      <c r="S83">
        <v>2081</v>
      </c>
      <c r="Z83" t="s">
        <v>2451</v>
      </c>
      <c r="AA83" t="s">
        <v>3371</v>
      </c>
    </row>
    <row r="84" spans="1:27" x14ac:dyDescent="0.35">
      <c r="A84" s="329" t="s">
        <v>265</v>
      </c>
      <c r="B84" t="s">
        <v>266</v>
      </c>
      <c r="C84" s="325" t="s">
        <v>3542</v>
      </c>
      <c r="D84" s="329" t="str">
        <f t="shared" si="2"/>
        <v>NACE B - 08.93 Extraction of salt</v>
      </c>
      <c r="E84" s="326" t="s">
        <v>4415</v>
      </c>
      <c r="F84" t="s">
        <v>267</v>
      </c>
      <c r="G84" t="str">
        <f t="shared" si="3"/>
        <v>GF</v>
      </c>
      <c r="I84" t="s">
        <v>4626</v>
      </c>
      <c r="K84" t="s">
        <v>2518</v>
      </c>
      <c r="S84">
        <v>2082</v>
      </c>
      <c r="Z84" t="s">
        <v>2916</v>
      </c>
      <c r="AA84" t="s">
        <v>3372</v>
      </c>
    </row>
    <row r="85" spans="1:27" x14ac:dyDescent="0.35">
      <c r="A85" s="329" t="s">
        <v>268</v>
      </c>
      <c r="B85" t="s">
        <v>269</v>
      </c>
      <c r="C85" s="328" t="s">
        <v>3543</v>
      </c>
      <c r="D85" s="329" t="str">
        <f t="shared" si="2"/>
        <v>NACE B - 08.99 Other mining and quarrying n.e.c.</v>
      </c>
      <c r="E85" s="326" t="s">
        <v>4416</v>
      </c>
      <c r="F85" t="s">
        <v>270</v>
      </c>
      <c r="G85" t="str">
        <f t="shared" si="3"/>
        <v>GG</v>
      </c>
      <c r="I85" t="s">
        <v>4627</v>
      </c>
      <c r="K85" t="s">
        <v>2519</v>
      </c>
      <c r="S85">
        <v>2083</v>
      </c>
      <c r="Z85" t="s">
        <v>2917</v>
      </c>
      <c r="AA85" t="s">
        <v>3373</v>
      </c>
    </row>
    <row r="86" spans="1:27" x14ac:dyDescent="0.35">
      <c r="A86" s="325" t="s">
        <v>271</v>
      </c>
      <c r="B86" t="s">
        <v>272</v>
      </c>
      <c r="C86" s="328" t="s">
        <v>3544</v>
      </c>
      <c r="D86" s="325" t="str">
        <f t="shared" si="2"/>
        <v>NACE B - 08 Mining support service activities</v>
      </c>
      <c r="E86" s="326" t="s">
        <v>273</v>
      </c>
      <c r="F86" t="s">
        <v>274</v>
      </c>
      <c r="G86" t="str">
        <f t="shared" si="3"/>
        <v>GH</v>
      </c>
      <c r="I86" t="s">
        <v>4628</v>
      </c>
      <c r="K86" t="s">
        <v>2520</v>
      </c>
      <c r="S86">
        <v>2084</v>
      </c>
      <c r="Z86" t="s">
        <v>2918</v>
      </c>
      <c r="AA86" t="s">
        <v>3374</v>
      </c>
    </row>
    <row r="87" spans="1:27" x14ac:dyDescent="0.35">
      <c r="A87" s="328" t="s">
        <v>275</v>
      </c>
      <c r="B87" t="s">
        <v>276</v>
      </c>
      <c r="C87" s="325" t="s">
        <v>3545</v>
      </c>
      <c r="D87" s="328" t="str">
        <f t="shared" si="2"/>
        <v>NACE B - 09.1 Support activities for petroleum and natural gas extraction</v>
      </c>
      <c r="E87" s="326" t="s">
        <v>277</v>
      </c>
      <c r="F87" t="s">
        <v>278</v>
      </c>
      <c r="G87" t="str">
        <f t="shared" si="3"/>
        <v>GI</v>
      </c>
      <c r="I87" t="s">
        <v>4629</v>
      </c>
      <c r="K87" t="s">
        <v>2521</v>
      </c>
      <c r="S87">
        <v>2085</v>
      </c>
      <c r="Z87" t="s">
        <v>2919</v>
      </c>
      <c r="AA87" t="s">
        <v>3375</v>
      </c>
    </row>
    <row r="88" spans="1:27" x14ac:dyDescent="0.35">
      <c r="A88" s="329" t="s">
        <v>279</v>
      </c>
      <c r="B88" t="s">
        <v>280</v>
      </c>
      <c r="C88" s="328" t="s">
        <v>3546</v>
      </c>
      <c r="D88" s="329" t="str">
        <f t="shared" si="2"/>
        <v>NACE B - 09.10 Support activities for petroleum and natural gas extraction</v>
      </c>
      <c r="E88" s="326" t="s">
        <v>4417</v>
      </c>
      <c r="F88" t="s">
        <v>281</v>
      </c>
      <c r="G88" t="str">
        <f t="shared" si="3"/>
        <v>GL</v>
      </c>
      <c r="I88" t="s">
        <v>4630</v>
      </c>
      <c r="K88" t="s">
        <v>2522</v>
      </c>
      <c r="S88">
        <v>2086</v>
      </c>
      <c r="Z88" t="s">
        <v>2920</v>
      </c>
      <c r="AA88" t="s">
        <v>3376</v>
      </c>
    </row>
    <row r="89" spans="1:27" x14ac:dyDescent="0.35">
      <c r="A89" s="328" t="s">
        <v>282</v>
      </c>
      <c r="B89" t="s">
        <v>283</v>
      </c>
      <c r="C89" s="328" t="s">
        <v>3547</v>
      </c>
      <c r="D89" s="328" t="str">
        <f t="shared" si="2"/>
        <v>NACE B - 09.9 Support activities for other mining and quarrying</v>
      </c>
      <c r="E89" s="326" t="s">
        <v>4418</v>
      </c>
      <c r="F89" t="s">
        <v>284</v>
      </c>
      <c r="G89" t="str">
        <f t="shared" si="3"/>
        <v>GM</v>
      </c>
      <c r="I89" t="s">
        <v>4631</v>
      </c>
      <c r="K89" t="s">
        <v>2523</v>
      </c>
      <c r="S89">
        <v>2087</v>
      </c>
      <c r="Z89" t="s">
        <v>2921</v>
      </c>
      <c r="AA89" t="s">
        <v>3377</v>
      </c>
    </row>
    <row r="90" spans="1:27" x14ac:dyDescent="0.35">
      <c r="A90" s="329" t="s">
        <v>285</v>
      </c>
      <c r="B90" t="s">
        <v>286</v>
      </c>
      <c r="C90" s="328" t="s">
        <v>3548</v>
      </c>
      <c r="D90" s="329" t="str">
        <f t="shared" si="2"/>
        <v>NACE B - 09.90 Support activities for other mining and quarrying</v>
      </c>
      <c r="E90" s="326" t="s">
        <v>4419</v>
      </c>
      <c r="F90" t="s">
        <v>287</v>
      </c>
      <c r="G90" t="str">
        <f t="shared" si="3"/>
        <v>GN</v>
      </c>
      <c r="I90" t="s">
        <v>4632</v>
      </c>
      <c r="K90" t="s">
        <v>2524</v>
      </c>
      <c r="S90">
        <v>2088</v>
      </c>
      <c r="Z90" t="s">
        <v>3173</v>
      </c>
      <c r="AA90" t="s">
        <v>3378</v>
      </c>
    </row>
    <row r="91" spans="1:27" x14ac:dyDescent="0.35">
      <c r="A91" s="326" t="s">
        <v>288</v>
      </c>
      <c r="B91" t="s">
        <v>289</v>
      </c>
      <c r="C91" s="328" t="s">
        <v>3549</v>
      </c>
      <c r="D91" s="326" t="str">
        <f t="shared" si="2"/>
        <v>NACE C - MANUFACTURING</v>
      </c>
      <c r="E91" s="326" t="s">
        <v>290</v>
      </c>
      <c r="F91" t="s">
        <v>291</v>
      </c>
      <c r="G91" t="str">
        <f t="shared" si="3"/>
        <v>GP</v>
      </c>
      <c r="I91" t="s">
        <v>4633</v>
      </c>
      <c r="K91" t="s">
        <v>2525</v>
      </c>
      <c r="S91">
        <v>2089</v>
      </c>
      <c r="Z91" t="s">
        <v>2922</v>
      </c>
      <c r="AA91" t="s">
        <v>3379</v>
      </c>
    </row>
    <row r="92" spans="1:27" x14ac:dyDescent="0.35">
      <c r="A92" s="325" t="s">
        <v>292</v>
      </c>
      <c r="B92" t="s">
        <v>293</v>
      </c>
      <c r="C92" s="328" t="s">
        <v>3550</v>
      </c>
      <c r="D92" s="325" t="str">
        <f t="shared" si="2"/>
        <v>NACE C - 10 Manufacture of food products</v>
      </c>
      <c r="E92" s="326" t="s">
        <v>4420</v>
      </c>
      <c r="F92" t="s">
        <v>294</v>
      </c>
      <c r="G92" t="str">
        <f t="shared" si="3"/>
        <v>GQ</v>
      </c>
      <c r="I92" t="s">
        <v>4634</v>
      </c>
      <c r="K92" t="s">
        <v>2442</v>
      </c>
      <c r="S92">
        <v>2090</v>
      </c>
      <c r="Z92" t="s">
        <v>2923</v>
      </c>
      <c r="AA92" t="s">
        <v>3380</v>
      </c>
    </row>
    <row r="93" spans="1:27" x14ac:dyDescent="0.35">
      <c r="A93" s="328" t="s">
        <v>295</v>
      </c>
      <c r="B93" t="s">
        <v>296</v>
      </c>
      <c r="C93" s="328" t="s">
        <v>3551</v>
      </c>
      <c r="D93" s="328" t="str">
        <f t="shared" si="2"/>
        <v>NACE C - 10.1 Processing and preserving of meat and production of meat products</v>
      </c>
      <c r="E93" s="326" t="s">
        <v>4421</v>
      </c>
      <c r="F93" t="s">
        <v>297</v>
      </c>
      <c r="G93" t="str">
        <f t="shared" si="3"/>
        <v>GR</v>
      </c>
      <c r="I93" t="s">
        <v>4635</v>
      </c>
      <c r="K93" t="s">
        <v>2862</v>
      </c>
      <c r="S93">
        <v>2091</v>
      </c>
      <c r="Z93" t="s">
        <v>2924</v>
      </c>
      <c r="AA93" t="s">
        <v>3381</v>
      </c>
    </row>
    <row r="94" spans="1:27" x14ac:dyDescent="0.35">
      <c r="A94" s="329" t="s">
        <v>298</v>
      </c>
      <c r="B94" t="s">
        <v>299</v>
      </c>
      <c r="C94" s="328" t="s">
        <v>3552</v>
      </c>
      <c r="D94" s="329" t="str">
        <f t="shared" si="2"/>
        <v>NACE C - 10.11 Processing and preserving of meat, except of poultry meat</v>
      </c>
      <c r="E94" s="326" t="s">
        <v>4422</v>
      </c>
      <c r="F94" t="s">
        <v>300</v>
      </c>
      <c r="G94" t="str">
        <f t="shared" si="3"/>
        <v>GS</v>
      </c>
      <c r="I94" t="s">
        <v>4636</v>
      </c>
      <c r="K94" t="s">
        <v>2526</v>
      </c>
      <c r="S94">
        <v>2092</v>
      </c>
      <c r="Z94" t="s">
        <v>2925</v>
      </c>
      <c r="AA94" t="s">
        <v>3382</v>
      </c>
    </row>
    <row r="95" spans="1:27" x14ac:dyDescent="0.35">
      <c r="A95" s="329" t="s">
        <v>301</v>
      </c>
      <c r="B95" t="s">
        <v>302</v>
      </c>
      <c r="C95" s="328" t="s">
        <v>3553</v>
      </c>
      <c r="D95" s="329" t="str">
        <f t="shared" si="2"/>
        <v>NACE C - 10.12 Processing and preserving of poultry meat</v>
      </c>
      <c r="E95" s="326" t="s">
        <v>303</v>
      </c>
      <c r="F95" t="s">
        <v>304</v>
      </c>
      <c r="G95" t="str">
        <f t="shared" si="3"/>
        <v>GT</v>
      </c>
      <c r="I95" t="s">
        <v>4637</v>
      </c>
      <c r="K95" t="s">
        <v>2527</v>
      </c>
      <c r="S95">
        <v>2093</v>
      </c>
      <c r="Z95" t="s">
        <v>2926</v>
      </c>
      <c r="AA95" t="s">
        <v>3383</v>
      </c>
    </row>
    <row r="96" spans="1:27" x14ac:dyDescent="0.35">
      <c r="A96" s="329" t="s">
        <v>305</v>
      </c>
      <c r="B96" t="s">
        <v>306</v>
      </c>
      <c r="C96" s="325" t="s">
        <v>3554</v>
      </c>
      <c r="D96" s="329" t="str">
        <f t="shared" si="2"/>
        <v>NACE C - 10.13 Production of meat and poultry meat products</v>
      </c>
      <c r="E96" s="326" t="s">
        <v>307</v>
      </c>
      <c r="F96" t="s">
        <v>308</v>
      </c>
      <c r="G96" t="str">
        <f t="shared" si="3"/>
        <v>GU</v>
      </c>
      <c r="K96" t="s">
        <v>2981</v>
      </c>
      <c r="S96">
        <v>2094</v>
      </c>
      <c r="Z96" t="s">
        <v>2452</v>
      </c>
      <c r="AA96" t="s">
        <v>3384</v>
      </c>
    </row>
    <row r="97" spans="1:27" x14ac:dyDescent="0.35">
      <c r="A97" s="328" t="s">
        <v>309</v>
      </c>
      <c r="B97" t="s">
        <v>310</v>
      </c>
      <c r="C97" s="328" t="s">
        <v>3555</v>
      </c>
      <c r="D97" s="328" t="str">
        <f t="shared" si="2"/>
        <v>NACE C - 10.2 Processing and preserving of fish, crustaceans and molluscs</v>
      </c>
      <c r="E97" s="326" t="s">
        <v>4423</v>
      </c>
      <c r="F97" t="s">
        <v>311</v>
      </c>
      <c r="G97" t="str">
        <f t="shared" si="3"/>
        <v>GW</v>
      </c>
      <c r="K97" t="s">
        <v>2528</v>
      </c>
      <c r="S97">
        <v>2095</v>
      </c>
      <c r="Z97" t="s">
        <v>2927</v>
      </c>
      <c r="AA97" t="s">
        <v>3385</v>
      </c>
    </row>
    <row r="98" spans="1:27" x14ac:dyDescent="0.35">
      <c r="A98" s="329" t="s">
        <v>312</v>
      </c>
      <c r="B98" t="s">
        <v>313</v>
      </c>
      <c r="C98" s="328" t="s">
        <v>3556</v>
      </c>
      <c r="D98" s="329" t="str">
        <f t="shared" si="2"/>
        <v>NACE C - 10.20 Processing and preserving of fish, crustaceans and molluscs</v>
      </c>
      <c r="E98" s="326" t="s">
        <v>4424</v>
      </c>
      <c r="F98" t="s">
        <v>314</v>
      </c>
      <c r="G98" t="str">
        <f t="shared" si="3"/>
        <v>GY</v>
      </c>
      <c r="K98" t="s">
        <v>2529</v>
      </c>
      <c r="S98">
        <v>2096</v>
      </c>
      <c r="Z98" t="s">
        <v>2928</v>
      </c>
      <c r="AA98" t="s">
        <v>3386</v>
      </c>
    </row>
    <row r="99" spans="1:27" x14ac:dyDescent="0.35">
      <c r="A99" s="328" t="s">
        <v>315</v>
      </c>
      <c r="B99" t="s">
        <v>316</v>
      </c>
      <c r="C99" s="328" t="s">
        <v>3557</v>
      </c>
      <c r="D99" s="328" t="str">
        <f t="shared" si="2"/>
        <v>NACE C - 10.3 Processing and preserving of fruit and vegetables</v>
      </c>
      <c r="E99" s="326" t="s">
        <v>317</v>
      </c>
      <c r="F99" t="s">
        <v>318</v>
      </c>
      <c r="G99" t="str">
        <f t="shared" si="3"/>
        <v>HK</v>
      </c>
      <c r="K99" t="s">
        <v>2530</v>
      </c>
      <c r="S99">
        <v>2097</v>
      </c>
      <c r="Z99" t="s">
        <v>2453</v>
      </c>
      <c r="AA99" t="s">
        <v>3387</v>
      </c>
    </row>
    <row r="100" spans="1:27" x14ac:dyDescent="0.35">
      <c r="A100" s="329" t="s">
        <v>319</v>
      </c>
      <c r="B100" t="s">
        <v>320</v>
      </c>
      <c r="C100" s="328" t="s">
        <v>3558</v>
      </c>
      <c r="D100" s="329" t="str">
        <f t="shared" si="2"/>
        <v>NACE C - 10.31 Processing and preserving of potatoes</v>
      </c>
      <c r="E100" s="326" t="s">
        <v>4425</v>
      </c>
      <c r="F100" t="s">
        <v>321</v>
      </c>
      <c r="G100" t="str">
        <f t="shared" si="3"/>
        <v>HM</v>
      </c>
      <c r="K100" t="s">
        <v>2531</v>
      </c>
      <c r="S100">
        <v>2098</v>
      </c>
      <c r="Z100" t="s">
        <v>2929</v>
      </c>
      <c r="AA100" t="s">
        <v>3388</v>
      </c>
    </row>
    <row r="101" spans="1:27" x14ac:dyDescent="0.35">
      <c r="A101" s="329" t="s">
        <v>322</v>
      </c>
      <c r="B101" t="s">
        <v>323</v>
      </c>
      <c r="C101" s="328" t="s">
        <v>3559</v>
      </c>
      <c r="D101" s="329" t="str">
        <f t="shared" si="2"/>
        <v>NACE C - 10.32 Manufacture of fruit and vegetable juice</v>
      </c>
      <c r="E101" s="326" t="s">
        <v>324</v>
      </c>
      <c r="F101" t="s">
        <v>325</v>
      </c>
      <c r="G101" t="str">
        <f t="shared" si="3"/>
        <v>HN</v>
      </c>
      <c r="K101" t="s">
        <v>2532</v>
      </c>
      <c r="S101">
        <v>2099</v>
      </c>
      <c r="Z101" t="s">
        <v>2930</v>
      </c>
      <c r="AA101" t="s">
        <v>3389</v>
      </c>
    </row>
    <row r="102" spans="1:27" x14ac:dyDescent="0.35">
      <c r="A102" s="329" t="s">
        <v>326</v>
      </c>
      <c r="B102" t="s">
        <v>327</v>
      </c>
      <c r="C102" s="325" t="s">
        <v>3560</v>
      </c>
      <c r="D102" s="329" t="str">
        <f t="shared" si="2"/>
        <v>NACE C - 10.39 Other processing and preserving of fruit and vegetables</v>
      </c>
      <c r="E102" s="326" t="s">
        <v>4426</v>
      </c>
      <c r="F102" t="s">
        <v>328</v>
      </c>
      <c r="G102" t="str">
        <f t="shared" si="3"/>
        <v>HR</v>
      </c>
      <c r="K102" t="s">
        <v>2533</v>
      </c>
      <c r="S102">
        <v>2100</v>
      </c>
      <c r="Z102" t="s">
        <v>2931</v>
      </c>
      <c r="AA102" t="s">
        <v>3390</v>
      </c>
    </row>
    <row r="103" spans="1:27" x14ac:dyDescent="0.35">
      <c r="A103" s="328" t="s">
        <v>329</v>
      </c>
      <c r="B103" t="s">
        <v>330</v>
      </c>
      <c r="C103" s="328" t="s">
        <v>3561</v>
      </c>
      <c r="D103" s="328" t="str">
        <f t="shared" si="2"/>
        <v>NACE C - 10.4 Manufacture of vegetable and animal oils and fats</v>
      </c>
      <c r="E103" s="326" t="s">
        <v>4427</v>
      </c>
      <c r="F103" t="s">
        <v>331</v>
      </c>
      <c r="G103" t="str">
        <f t="shared" si="3"/>
        <v>HT</v>
      </c>
      <c r="K103" t="s">
        <v>2534</v>
      </c>
      <c r="Z103" t="s">
        <v>2932</v>
      </c>
      <c r="AA103" t="s">
        <v>3391</v>
      </c>
    </row>
    <row r="104" spans="1:27" x14ac:dyDescent="0.35">
      <c r="A104" s="329" t="s">
        <v>332</v>
      </c>
      <c r="B104" t="s">
        <v>333</v>
      </c>
      <c r="C104" s="328" t="s">
        <v>3562</v>
      </c>
      <c r="D104" s="329" t="str">
        <f t="shared" si="2"/>
        <v>NACE C - 10.41 Manufacture of oils and fats</v>
      </c>
      <c r="E104" s="326" t="s">
        <v>4428</v>
      </c>
      <c r="F104" t="s">
        <v>334</v>
      </c>
      <c r="G104" t="str">
        <f t="shared" si="3"/>
        <v>HU</v>
      </c>
      <c r="K104" t="s">
        <v>2863</v>
      </c>
      <c r="Z104" t="s">
        <v>2933</v>
      </c>
      <c r="AA104" t="s">
        <v>3392</v>
      </c>
    </row>
    <row r="105" spans="1:27" x14ac:dyDescent="0.35">
      <c r="A105" s="329" t="s">
        <v>335</v>
      </c>
      <c r="B105" t="s">
        <v>336</v>
      </c>
      <c r="C105" s="328" t="s">
        <v>3563</v>
      </c>
      <c r="D105" s="329" t="str">
        <f t="shared" si="2"/>
        <v>NACE C - 10.42 Manufacture of margarine and similar edible fats</v>
      </c>
      <c r="E105" s="326" t="s">
        <v>4429</v>
      </c>
      <c r="F105" t="s">
        <v>337</v>
      </c>
      <c r="G105" t="str">
        <f t="shared" si="3"/>
        <v>ID</v>
      </c>
      <c r="K105" t="s">
        <v>2535</v>
      </c>
      <c r="Z105" t="s">
        <v>2934</v>
      </c>
      <c r="AA105" t="s">
        <v>3393</v>
      </c>
    </row>
    <row r="106" spans="1:27" x14ac:dyDescent="0.35">
      <c r="A106" s="328" t="s">
        <v>338</v>
      </c>
      <c r="B106" t="s">
        <v>339</v>
      </c>
      <c r="C106" s="328" t="s">
        <v>3564</v>
      </c>
      <c r="D106" s="328" t="str">
        <f t="shared" si="2"/>
        <v>NACE C - 10.5 Manufacture of dairy products and edible ice</v>
      </c>
      <c r="E106" s="326" t="s">
        <v>4430</v>
      </c>
      <c r="F106" t="s">
        <v>340</v>
      </c>
      <c r="G106" t="str">
        <f t="shared" si="3"/>
        <v>IE</v>
      </c>
      <c r="K106" t="s">
        <v>2536</v>
      </c>
      <c r="Z106" t="s">
        <v>2935</v>
      </c>
      <c r="AA106" t="s">
        <v>3394</v>
      </c>
    </row>
    <row r="107" spans="1:27" x14ac:dyDescent="0.35">
      <c r="A107" s="329" t="s">
        <v>341</v>
      </c>
      <c r="B107" t="s">
        <v>342</v>
      </c>
      <c r="C107" s="328" t="s">
        <v>3565</v>
      </c>
      <c r="D107" s="329" t="str">
        <f t="shared" si="2"/>
        <v>NACE C - 10.51 Manufacture of dairy products</v>
      </c>
      <c r="E107" s="326" t="s">
        <v>4431</v>
      </c>
      <c r="F107" t="s">
        <v>343</v>
      </c>
      <c r="G107" t="str">
        <f t="shared" si="3"/>
        <v>IL</v>
      </c>
      <c r="K107" t="s">
        <v>2537</v>
      </c>
      <c r="Z107" t="s">
        <v>2936</v>
      </c>
      <c r="AA107" t="s">
        <v>3395</v>
      </c>
    </row>
    <row r="108" spans="1:27" x14ac:dyDescent="0.35">
      <c r="A108" s="329" t="s">
        <v>344</v>
      </c>
      <c r="B108" t="s">
        <v>345</v>
      </c>
      <c r="C108" s="328" t="s">
        <v>3566</v>
      </c>
      <c r="D108" s="329" t="str">
        <f t="shared" si="2"/>
        <v>NACE C - 10.52 Manufacture of ice cream and other edible ice</v>
      </c>
      <c r="E108" s="326" t="s">
        <v>4432</v>
      </c>
      <c r="F108" t="s">
        <v>346</v>
      </c>
      <c r="G108" t="str">
        <f t="shared" si="3"/>
        <v>IM</v>
      </c>
      <c r="K108" t="s">
        <v>2538</v>
      </c>
      <c r="Z108" t="s">
        <v>2454</v>
      </c>
      <c r="AA108" t="s">
        <v>3396</v>
      </c>
    </row>
    <row r="109" spans="1:27" x14ac:dyDescent="0.35">
      <c r="A109" s="328" t="s">
        <v>347</v>
      </c>
      <c r="B109" t="s">
        <v>348</v>
      </c>
      <c r="C109" s="328" t="s">
        <v>3567</v>
      </c>
      <c r="D109" s="328" t="str">
        <f t="shared" si="2"/>
        <v>NACE C - 10.6 Manufacture of grain mill products, starches and starch products</v>
      </c>
      <c r="E109" s="326" t="s">
        <v>4433</v>
      </c>
      <c r="F109" t="s">
        <v>349</v>
      </c>
      <c r="G109" t="str">
        <f t="shared" si="3"/>
        <v>IN</v>
      </c>
      <c r="K109" t="s">
        <v>2539</v>
      </c>
      <c r="Z109" t="s">
        <v>2937</v>
      </c>
      <c r="AA109" t="s">
        <v>3397</v>
      </c>
    </row>
    <row r="110" spans="1:27" x14ac:dyDescent="0.35">
      <c r="A110" s="329" t="s">
        <v>350</v>
      </c>
      <c r="B110" t="s">
        <v>351</v>
      </c>
      <c r="C110" s="325" t="s">
        <v>3568</v>
      </c>
      <c r="D110" s="329" t="str">
        <f t="shared" si="2"/>
        <v>NACE C - 10.61 Manufacture of grain mill products</v>
      </c>
      <c r="E110" s="326" t="s">
        <v>4434</v>
      </c>
      <c r="F110" t="s">
        <v>352</v>
      </c>
      <c r="G110" t="str">
        <f t="shared" si="3"/>
        <v>IO</v>
      </c>
      <c r="K110" t="s">
        <v>2540</v>
      </c>
      <c r="Z110" t="s">
        <v>2938</v>
      </c>
      <c r="AA110" t="s">
        <v>3398</v>
      </c>
    </row>
    <row r="111" spans="1:27" x14ac:dyDescent="0.35">
      <c r="A111" s="329" t="s">
        <v>353</v>
      </c>
      <c r="B111" t="s">
        <v>354</v>
      </c>
      <c r="C111" s="328" t="s">
        <v>3569</v>
      </c>
      <c r="D111" s="329" t="str">
        <f t="shared" si="2"/>
        <v>NACE C - 10.62 Manufacture of starches and starch products</v>
      </c>
      <c r="E111" s="326" t="s">
        <v>4435</v>
      </c>
      <c r="F111" t="s">
        <v>355</v>
      </c>
      <c r="G111" t="str">
        <f t="shared" si="3"/>
        <v>IQ</v>
      </c>
      <c r="K111" t="s">
        <v>2541</v>
      </c>
      <c r="Z111" t="s">
        <v>2939</v>
      </c>
      <c r="AA111" t="s">
        <v>3399</v>
      </c>
    </row>
    <row r="112" spans="1:27" x14ac:dyDescent="0.35">
      <c r="A112" s="328" t="s">
        <v>356</v>
      </c>
      <c r="B112" t="s">
        <v>357</v>
      </c>
      <c r="C112" s="328" t="s">
        <v>3570</v>
      </c>
      <c r="D112" s="328" t="str">
        <f t="shared" si="2"/>
        <v>NACE C - 10.7 Manufacture of bakery and farinaceous products</v>
      </c>
      <c r="E112" s="326" t="s">
        <v>4436</v>
      </c>
      <c r="F112" t="s">
        <v>358</v>
      </c>
      <c r="G112" t="str">
        <f t="shared" si="3"/>
        <v>IR</v>
      </c>
      <c r="K112" t="s">
        <v>2542</v>
      </c>
      <c r="Z112" t="s">
        <v>2940</v>
      </c>
      <c r="AA112" t="s">
        <v>3400</v>
      </c>
    </row>
    <row r="113" spans="1:27" x14ac:dyDescent="0.35">
      <c r="A113" s="329" t="s">
        <v>359</v>
      </c>
      <c r="B113" t="s">
        <v>360</v>
      </c>
      <c r="C113" s="328" t="s">
        <v>3571</v>
      </c>
      <c r="D113" s="329" t="str">
        <f t="shared" si="2"/>
        <v>NACE C - 10.71 Manufacture of bread; manufacture of fresh pastry goods and cakes</v>
      </c>
      <c r="E113" s="326" t="s">
        <v>4437</v>
      </c>
      <c r="F113" t="s">
        <v>361</v>
      </c>
      <c r="G113" t="str">
        <f t="shared" si="3"/>
        <v>IS</v>
      </c>
      <c r="K113" t="s">
        <v>2543</v>
      </c>
      <c r="Z113" t="s">
        <v>2941</v>
      </c>
      <c r="AA113" t="s">
        <v>3401</v>
      </c>
    </row>
    <row r="114" spans="1:27" x14ac:dyDescent="0.35">
      <c r="A114" s="329" t="s">
        <v>362</v>
      </c>
      <c r="B114" t="s">
        <v>363</v>
      </c>
      <c r="C114" s="328" t="s">
        <v>3572</v>
      </c>
      <c r="D114" s="329" t="str">
        <f t="shared" si="2"/>
        <v>NACE C - 10.72 Manufacture of rusks, biscuits, preserved pastries and cakes</v>
      </c>
      <c r="E114" s="326" t="s">
        <v>4438</v>
      </c>
      <c r="F114" t="s">
        <v>364</v>
      </c>
      <c r="G114" t="str">
        <f t="shared" si="3"/>
        <v>IT</v>
      </c>
      <c r="K114" t="s">
        <v>2544</v>
      </c>
      <c r="Z114" t="s">
        <v>2942</v>
      </c>
      <c r="AA114" t="s">
        <v>3402</v>
      </c>
    </row>
    <row r="115" spans="1:27" x14ac:dyDescent="0.35">
      <c r="A115" s="329" t="s">
        <v>365</v>
      </c>
      <c r="B115" t="s">
        <v>366</v>
      </c>
      <c r="C115" s="328" t="s">
        <v>3573</v>
      </c>
      <c r="D115" s="329" t="str">
        <f t="shared" si="2"/>
        <v>NACE C - 10.73 Manufacture of farinaceous products</v>
      </c>
      <c r="E115" s="326" t="s">
        <v>367</v>
      </c>
      <c r="F115" t="s">
        <v>368</v>
      </c>
      <c r="G115" t="str">
        <f t="shared" si="3"/>
        <v>JE</v>
      </c>
      <c r="K115" t="s">
        <v>2982</v>
      </c>
      <c r="Z115" t="s">
        <v>2943</v>
      </c>
      <c r="AA115" t="s">
        <v>3403</v>
      </c>
    </row>
    <row r="116" spans="1:27" x14ac:dyDescent="0.35">
      <c r="A116" s="328" t="s">
        <v>369</v>
      </c>
      <c r="B116" t="s">
        <v>370</v>
      </c>
      <c r="C116" s="328" t="s">
        <v>3574</v>
      </c>
      <c r="D116" s="328" t="str">
        <f t="shared" si="2"/>
        <v>NACE C - 10.8 Manufacture of other food products</v>
      </c>
      <c r="E116" s="326" t="s">
        <v>4439</v>
      </c>
      <c r="F116" t="s">
        <v>371</v>
      </c>
      <c r="G116" t="str">
        <f t="shared" si="3"/>
        <v>JM</v>
      </c>
      <c r="K116" t="s">
        <v>2545</v>
      </c>
      <c r="Z116" t="s">
        <v>2455</v>
      </c>
      <c r="AA116" t="s">
        <v>3404</v>
      </c>
    </row>
    <row r="117" spans="1:27" x14ac:dyDescent="0.35">
      <c r="A117" s="329" t="s">
        <v>372</v>
      </c>
      <c r="B117" t="s">
        <v>373</v>
      </c>
      <c r="C117" s="328" t="s">
        <v>3575</v>
      </c>
      <c r="D117" s="329" t="str">
        <f t="shared" si="2"/>
        <v>NACE C - 10.81 Manufacture of sugar</v>
      </c>
      <c r="E117" s="326" t="s">
        <v>4440</v>
      </c>
      <c r="F117" t="s">
        <v>374</v>
      </c>
      <c r="G117" t="str">
        <f t="shared" si="3"/>
        <v>JO</v>
      </c>
      <c r="K117" t="s">
        <v>2983</v>
      </c>
      <c r="Z117" t="s">
        <v>2944</v>
      </c>
      <c r="AA117" t="s">
        <v>3405</v>
      </c>
    </row>
    <row r="118" spans="1:27" x14ac:dyDescent="0.35">
      <c r="A118" s="329" t="s">
        <v>375</v>
      </c>
      <c r="B118" t="s">
        <v>376</v>
      </c>
      <c r="C118" s="325" t="s">
        <v>3576</v>
      </c>
      <c r="D118" s="329" t="str">
        <f t="shared" si="2"/>
        <v>NACE C - 10.82 Manufacture of cocoa, chocolate and sugar confectionery</v>
      </c>
      <c r="E118" s="326" t="s">
        <v>4441</v>
      </c>
      <c r="F118" t="s">
        <v>377</v>
      </c>
      <c r="G118" t="str">
        <f t="shared" si="3"/>
        <v>JP</v>
      </c>
      <c r="K118" t="s">
        <v>2546</v>
      </c>
      <c r="Z118" t="s">
        <v>2945</v>
      </c>
      <c r="AA118" t="s">
        <v>3406</v>
      </c>
    </row>
    <row r="119" spans="1:27" x14ac:dyDescent="0.35">
      <c r="A119" s="329" t="s">
        <v>378</v>
      </c>
      <c r="B119" t="s">
        <v>379</v>
      </c>
      <c r="C119" s="328" t="s">
        <v>3577</v>
      </c>
      <c r="D119" s="329" t="str">
        <f t="shared" si="2"/>
        <v>NACE C - 10.83 Processing of tea and coffee</v>
      </c>
      <c r="E119" s="326" t="s">
        <v>380</v>
      </c>
      <c r="F119" t="s">
        <v>381</v>
      </c>
      <c r="G119" t="str">
        <f t="shared" si="3"/>
        <v>KE</v>
      </c>
      <c r="K119" t="s">
        <v>2984</v>
      </c>
      <c r="Z119" t="s">
        <v>2456</v>
      </c>
      <c r="AA119" t="s">
        <v>3407</v>
      </c>
    </row>
    <row r="120" spans="1:27" x14ac:dyDescent="0.35">
      <c r="A120" s="329" t="s">
        <v>382</v>
      </c>
      <c r="B120" t="s">
        <v>383</v>
      </c>
      <c r="C120" s="328" t="s">
        <v>3578</v>
      </c>
      <c r="D120" s="329" t="str">
        <f t="shared" si="2"/>
        <v>NACE C - 10.84 Manufacture of condiments and seasonings</v>
      </c>
      <c r="E120" s="326" t="s">
        <v>4442</v>
      </c>
      <c r="F120" t="s">
        <v>384</v>
      </c>
      <c r="G120" t="str">
        <f t="shared" si="3"/>
        <v>KG</v>
      </c>
      <c r="K120" t="s">
        <v>2547</v>
      </c>
      <c r="Z120" t="s">
        <v>2947</v>
      </c>
      <c r="AA120" t="s">
        <v>3408</v>
      </c>
    </row>
    <row r="121" spans="1:27" x14ac:dyDescent="0.35">
      <c r="A121" s="329" t="s">
        <v>385</v>
      </c>
      <c r="B121" t="s">
        <v>386</v>
      </c>
      <c r="C121" s="328" t="s">
        <v>3579</v>
      </c>
      <c r="D121" s="329" t="str">
        <f t="shared" si="2"/>
        <v>NACE C - 10.85 Manufacture of prepared meals and dishes</v>
      </c>
      <c r="E121" s="326" t="s">
        <v>4443</v>
      </c>
      <c r="F121" t="s">
        <v>387</v>
      </c>
      <c r="G121" t="str">
        <f t="shared" si="3"/>
        <v>KH</v>
      </c>
      <c r="K121" t="s">
        <v>2548</v>
      </c>
      <c r="Z121" t="s">
        <v>2948</v>
      </c>
      <c r="AA121" t="s">
        <v>3409</v>
      </c>
    </row>
    <row r="122" spans="1:27" x14ac:dyDescent="0.35">
      <c r="A122" s="329" t="s">
        <v>388</v>
      </c>
      <c r="B122" t="s">
        <v>389</v>
      </c>
      <c r="C122" s="328" t="s">
        <v>3580</v>
      </c>
      <c r="D122" s="329" t="str">
        <f t="shared" si="2"/>
        <v>NACE C - 10.86 Manufacture of homogenised food preparations and dietetic food</v>
      </c>
      <c r="E122" s="326" t="s">
        <v>390</v>
      </c>
      <c r="F122" t="s">
        <v>391</v>
      </c>
      <c r="G122" t="str">
        <f t="shared" si="3"/>
        <v>KI</v>
      </c>
      <c r="K122" t="s">
        <v>2443</v>
      </c>
      <c r="Z122" t="s">
        <v>2949</v>
      </c>
      <c r="AA122" t="s">
        <v>3410</v>
      </c>
    </row>
    <row r="123" spans="1:27" x14ac:dyDescent="0.35">
      <c r="A123" s="329" t="s">
        <v>392</v>
      </c>
      <c r="B123" t="s">
        <v>393</v>
      </c>
      <c r="C123" s="328" t="s">
        <v>3581</v>
      </c>
      <c r="D123" s="329" t="str">
        <f t="shared" si="2"/>
        <v>NACE C - 10.89 Manufacture of other food products n.e.c.</v>
      </c>
      <c r="E123" s="326" t="s">
        <v>4444</v>
      </c>
      <c r="F123" t="s">
        <v>394</v>
      </c>
      <c r="G123" t="str">
        <f t="shared" si="3"/>
        <v>KM</v>
      </c>
      <c r="K123" t="s">
        <v>2864</v>
      </c>
      <c r="Z123" t="s">
        <v>2950</v>
      </c>
      <c r="AA123" t="s">
        <v>3411</v>
      </c>
    </row>
    <row r="124" spans="1:27" x14ac:dyDescent="0.35">
      <c r="A124" s="328" t="s">
        <v>395</v>
      </c>
      <c r="B124" t="s">
        <v>396</v>
      </c>
      <c r="C124" s="328" t="s">
        <v>3582</v>
      </c>
      <c r="D124" s="328" t="str">
        <f t="shared" si="2"/>
        <v>NACE C - 10.9 Manufacture of prepared animal feeds</v>
      </c>
      <c r="E124" s="326" t="s">
        <v>4445</v>
      </c>
      <c r="F124" t="s">
        <v>397</v>
      </c>
      <c r="G124" t="str">
        <f t="shared" si="3"/>
        <v>KN</v>
      </c>
      <c r="K124" t="s">
        <v>2549</v>
      </c>
      <c r="Z124" t="s">
        <v>2951</v>
      </c>
      <c r="AA124" t="s">
        <v>3412</v>
      </c>
    </row>
    <row r="125" spans="1:27" x14ac:dyDescent="0.35">
      <c r="A125" s="329" t="s">
        <v>398</v>
      </c>
      <c r="B125" t="s">
        <v>399</v>
      </c>
      <c r="C125" s="325" t="s">
        <v>3583</v>
      </c>
      <c r="D125" s="329" t="str">
        <f t="shared" si="2"/>
        <v>NACE C - 10.91 Manufacture of prepared feeds for farm animals</v>
      </c>
      <c r="E125" s="326" t="s">
        <v>4446</v>
      </c>
      <c r="F125" t="s">
        <v>400</v>
      </c>
      <c r="G125" t="str">
        <f t="shared" si="3"/>
        <v>KP</v>
      </c>
      <c r="K125" t="s">
        <v>2985</v>
      </c>
      <c r="Z125" t="s">
        <v>2952</v>
      </c>
      <c r="AA125" t="s">
        <v>3413</v>
      </c>
    </row>
    <row r="126" spans="1:27" x14ac:dyDescent="0.35">
      <c r="A126" s="329" t="s">
        <v>401</v>
      </c>
      <c r="B126" t="s">
        <v>402</v>
      </c>
      <c r="C126" s="328" t="s">
        <v>3584</v>
      </c>
      <c r="D126" s="329" t="str">
        <f t="shared" si="2"/>
        <v>NACE C - 10.92 Manufacture of prepared pet foods</v>
      </c>
      <c r="E126" s="326" t="s">
        <v>4447</v>
      </c>
      <c r="F126" t="s">
        <v>403</v>
      </c>
      <c r="G126" t="str">
        <f t="shared" si="3"/>
        <v>KR</v>
      </c>
      <c r="K126" t="s">
        <v>2986</v>
      </c>
      <c r="Z126" t="s">
        <v>2953</v>
      </c>
      <c r="AA126" t="s">
        <v>3414</v>
      </c>
    </row>
    <row r="127" spans="1:27" x14ac:dyDescent="0.35">
      <c r="A127" s="325" t="s">
        <v>404</v>
      </c>
      <c r="B127" t="s">
        <v>405</v>
      </c>
      <c r="C127" s="328" t="s">
        <v>3585</v>
      </c>
      <c r="D127" s="325" t="str">
        <f t="shared" si="2"/>
        <v>NACE C - 11 Manufacture of beverages</v>
      </c>
      <c r="E127" s="326" t="s">
        <v>4448</v>
      </c>
      <c r="F127" t="s">
        <v>406</v>
      </c>
      <c r="G127" t="str">
        <f t="shared" si="3"/>
        <v>KW</v>
      </c>
      <c r="K127" t="s">
        <v>2987</v>
      </c>
      <c r="Z127" t="s">
        <v>2954</v>
      </c>
      <c r="AA127" t="s">
        <v>3415</v>
      </c>
    </row>
    <row r="128" spans="1:27" x14ac:dyDescent="0.35">
      <c r="A128" s="328" t="s">
        <v>407</v>
      </c>
      <c r="B128" t="s">
        <v>408</v>
      </c>
      <c r="C128" s="328" t="s">
        <v>3586</v>
      </c>
      <c r="D128" s="328" t="str">
        <f t="shared" si="2"/>
        <v>NACE C - 11.0 Manufacture of beverages</v>
      </c>
      <c r="E128" s="326" t="s">
        <v>4449</v>
      </c>
      <c r="F128" t="s">
        <v>409</v>
      </c>
      <c r="G128" t="str">
        <f t="shared" si="3"/>
        <v>KY</v>
      </c>
      <c r="K128" t="s">
        <v>2550</v>
      </c>
      <c r="Z128" t="s">
        <v>2955</v>
      </c>
      <c r="AA128" t="s">
        <v>3416</v>
      </c>
    </row>
    <row r="129" spans="1:27" x14ac:dyDescent="0.35">
      <c r="A129" s="329" t="s">
        <v>410</v>
      </c>
      <c r="B129" t="s">
        <v>411</v>
      </c>
      <c r="C129" s="328" t="s">
        <v>3587</v>
      </c>
      <c r="D129" s="329" t="str">
        <f t="shared" si="2"/>
        <v>NACE C - 11.01 Distilling, rectifying and blending of spirits</v>
      </c>
      <c r="E129" s="326" t="s">
        <v>412</v>
      </c>
      <c r="F129" t="s">
        <v>413</v>
      </c>
      <c r="G129" t="str">
        <f t="shared" si="3"/>
        <v>KZ</v>
      </c>
      <c r="K129" t="s">
        <v>2988</v>
      </c>
      <c r="Z129" t="s">
        <v>2956</v>
      </c>
      <c r="AA129" t="s">
        <v>3417</v>
      </c>
    </row>
    <row r="130" spans="1:27" x14ac:dyDescent="0.35">
      <c r="A130" s="329" t="s">
        <v>414</v>
      </c>
      <c r="B130" t="s">
        <v>415</v>
      </c>
      <c r="C130" s="328" t="s">
        <v>3588</v>
      </c>
      <c r="D130" s="329" t="str">
        <f t="shared" ref="D130:D193" si="4">_xlfn.CONCAT("NACE ", A130)</f>
        <v>NACE C - 11.02 Manufacture of wine from grape</v>
      </c>
      <c r="E130" s="326" t="s">
        <v>4450</v>
      </c>
      <c r="F130" t="s">
        <v>416</v>
      </c>
      <c r="G130" t="str">
        <f t="shared" si="3"/>
        <v>LA</v>
      </c>
      <c r="K130" t="s">
        <v>2989</v>
      </c>
      <c r="Z130" t="s">
        <v>2457</v>
      </c>
      <c r="AA130" t="s">
        <v>3418</v>
      </c>
    </row>
    <row r="131" spans="1:27" x14ac:dyDescent="0.35">
      <c r="A131" s="329" t="s">
        <v>417</v>
      </c>
      <c r="B131" t="s">
        <v>418</v>
      </c>
      <c r="C131" s="325" t="s">
        <v>3589</v>
      </c>
      <c r="D131" s="329" t="str">
        <f t="shared" si="4"/>
        <v>NACE C - 11.03 Manufacture of cider and other fermented fruit beverages</v>
      </c>
      <c r="E131" s="326" t="s">
        <v>4451</v>
      </c>
      <c r="F131" t="s">
        <v>419</v>
      </c>
      <c r="G131" t="str">
        <f t="shared" ref="G131:G194" si="5">RIGHT(F131,2)</f>
        <v>LB</v>
      </c>
      <c r="K131" t="s">
        <v>2990</v>
      </c>
      <c r="Z131" t="s">
        <v>2957</v>
      </c>
      <c r="AA131" t="s">
        <v>3419</v>
      </c>
    </row>
    <row r="132" spans="1:27" x14ac:dyDescent="0.35">
      <c r="A132" s="329" t="s">
        <v>420</v>
      </c>
      <c r="B132" t="s">
        <v>421</v>
      </c>
      <c r="C132" s="328" t="s">
        <v>3590</v>
      </c>
      <c r="D132" s="329" t="str">
        <f t="shared" si="4"/>
        <v>NACE C - 11.04 Manufacture of other non-distilled fermented beverages</v>
      </c>
      <c r="E132" s="326" t="s">
        <v>4452</v>
      </c>
      <c r="F132" t="s">
        <v>422</v>
      </c>
      <c r="G132" t="str">
        <f t="shared" si="5"/>
        <v>LC</v>
      </c>
      <c r="K132" t="s">
        <v>2551</v>
      </c>
      <c r="Z132" t="s">
        <v>2958</v>
      </c>
      <c r="AA132" t="s">
        <v>3420</v>
      </c>
    </row>
    <row r="133" spans="1:27" x14ac:dyDescent="0.35">
      <c r="A133" s="329" t="s">
        <v>423</v>
      </c>
      <c r="B133" t="s">
        <v>424</v>
      </c>
      <c r="C133" s="328" t="s">
        <v>3591</v>
      </c>
      <c r="D133" s="329" t="str">
        <f t="shared" si="4"/>
        <v>NACE C - 11.05 Manufacture of beer</v>
      </c>
      <c r="E133" s="326" t="s">
        <v>425</v>
      </c>
      <c r="F133" t="s">
        <v>426</v>
      </c>
      <c r="G133" t="str">
        <f t="shared" si="5"/>
        <v>LI</v>
      </c>
      <c r="K133" t="s">
        <v>2552</v>
      </c>
      <c r="Z133" t="s">
        <v>2959</v>
      </c>
      <c r="AA133" t="s">
        <v>3421</v>
      </c>
    </row>
    <row r="134" spans="1:27" x14ac:dyDescent="0.35">
      <c r="A134" s="329" t="s">
        <v>427</v>
      </c>
      <c r="B134" t="s">
        <v>428</v>
      </c>
      <c r="C134" s="328" t="s">
        <v>3592</v>
      </c>
      <c r="D134" s="329" t="str">
        <f t="shared" si="4"/>
        <v>NACE C - 11.06 Manufacture of malt</v>
      </c>
      <c r="E134" s="326" t="s">
        <v>429</v>
      </c>
      <c r="F134" t="s">
        <v>430</v>
      </c>
      <c r="G134" t="str">
        <f t="shared" si="5"/>
        <v>LK</v>
      </c>
      <c r="K134" t="s">
        <v>2865</v>
      </c>
      <c r="AA134" t="s">
        <v>3422</v>
      </c>
    </row>
    <row r="135" spans="1:27" x14ac:dyDescent="0.35">
      <c r="A135" s="329" t="s">
        <v>431</v>
      </c>
      <c r="B135" t="s">
        <v>432</v>
      </c>
      <c r="C135" s="325" t="s">
        <v>3593</v>
      </c>
      <c r="D135" s="329" t="str">
        <f t="shared" si="4"/>
        <v>NACE C - 11.07 Manufacture of soft drinks and bottled waters</v>
      </c>
      <c r="E135" s="326" t="s">
        <v>4453</v>
      </c>
      <c r="F135" t="s">
        <v>433</v>
      </c>
      <c r="G135" t="str">
        <f t="shared" si="5"/>
        <v>LR</v>
      </c>
      <c r="K135" t="s">
        <v>2553</v>
      </c>
      <c r="AA135" t="s">
        <v>3423</v>
      </c>
    </row>
    <row r="136" spans="1:27" x14ac:dyDescent="0.35">
      <c r="A136" s="325" t="s">
        <v>434</v>
      </c>
      <c r="B136" t="s">
        <v>435</v>
      </c>
      <c r="C136" s="328" t="s">
        <v>3594</v>
      </c>
      <c r="D136" s="325" t="str">
        <f t="shared" si="4"/>
        <v>NACE C - 12 Manufacture of tobacco products</v>
      </c>
      <c r="E136" s="326" t="s">
        <v>436</v>
      </c>
      <c r="F136" t="s">
        <v>437</v>
      </c>
      <c r="G136" t="str">
        <f t="shared" si="5"/>
        <v>LS</v>
      </c>
      <c r="K136" t="s">
        <v>2554</v>
      </c>
      <c r="AA136" t="s">
        <v>3424</v>
      </c>
    </row>
    <row r="137" spans="1:27" x14ac:dyDescent="0.35">
      <c r="A137" s="328" t="s">
        <v>438</v>
      </c>
      <c r="B137" t="s">
        <v>439</v>
      </c>
      <c r="C137" s="328" t="s">
        <v>3595</v>
      </c>
      <c r="D137" s="328" t="str">
        <f t="shared" si="4"/>
        <v>NACE C - 12.0 Manufacture of tobacco products</v>
      </c>
      <c r="E137" s="326" t="s">
        <v>4454</v>
      </c>
      <c r="F137" t="s">
        <v>440</v>
      </c>
      <c r="G137" t="str">
        <f t="shared" si="5"/>
        <v>LT</v>
      </c>
      <c r="K137" t="s">
        <v>2555</v>
      </c>
      <c r="AA137" t="s">
        <v>3425</v>
      </c>
    </row>
    <row r="138" spans="1:27" x14ac:dyDescent="0.35">
      <c r="A138" s="329" t="s">
        <v>441</v>
      </c>
      <c r="B138" t="s">
        <v>442</v>
      </c>
      <c r="C138" s="328" t="s">
        <v>3596</v>
      </c>
      <c r="D138" s="329" t="str">
        <f t="shared" si="4"/>
        <v>NACE C - 12.00 Manufacture of tobacco products</v>
      </c>
      <c r="E138" s="326" t="s">
        <v>443</v>
      </c>
      <c r="F138" t="s">
        <v>444</v>
      </c>
      <c r="G138" t="str">
        <f t="shared" si="5"/>
        <v>LU</v>
      </c>
      <c r="K138" t="s">
        <v>2866</v>
      </c>
      <c r="AA138" t="s">
        <v>3426</v>
      </c>
    </row>
    <row r="139" spans="1:27" x14ac:dyDescent="0.35">
      <c r="A139" s="325" t="s">
        <v>445</v>
      </c>
      <c r="B139" t="s">
        <v>446</v>
      </c>
      <c r="C139" s="328" t="s">
        <v>3597</v>
      </c>
      <c r="D139" s="325" t="str">
        <f t="shared" si="4"/>
        <v>NACE C - 13 Manufacture of textiles</v>
      </c>
      <c r="E139" s="326" t="s">
        <v>4455</v>
      </c>
      <c r="F139" t="s">
        <v>447</v>
      </c>
      <c r="G139" t="str">
        <f t="shared" si="5"/>
        <v>LV</v>
      </c>
      <c r="K139" t="s">
        <v>2991</v>
      </c>
      <c r="AA139" t="s">
        <v>3427</v>
      </c>
    </row>
    <row r="140" spans="1:27" x14ac:dyDescent="0.35">
      <c r="A140" s="328" t="s">
        <v>448</v>
      </c>
      <c r="B140" t="s">
        <v>449</v>
      </c>
      <c r="C140" s="328" t="s">
        <v>3598</v>
      </c>
      <c r="D140" s="328" t="str">
        <f t="shared" si="4"/>
        <v>NACE C - 13.1 Preparation and spinning of textile fibres</v>
      </c>
      <c r="E140" s="326" t="s">
        <v>4456</v>
      </c>
      <c r="F140" t="s">
        <v>450</v>
      </c>
      <c r="G140" t="str">
        <f t="shared" si="5"/>
        <v>LY</v>
      </c>
      <c r="K140" t="s">
        <v>2867</v>
      </c>
      <c r="AA140" t="s">
        <v>3428</v>
      </c>
    </row>
    <row r="141" spans="1:27" x14ac:dyDescent="0.35">
      <c r="A141" s="329" t="s">
        <v>451</v>
      </c>
      <c r="B141" t="s">
        <v>452</v>
      </c>
      <c r="C141" s="325" t="s">
        <v>3599</v>
      </c>
      <c r="D141" s="329" t="str">
        <f t="shared" si="4"/>
        <v>NACE C - 13.10 Preparation and spinning of textile fibres</v>
      </c>
      <c r="E141" s="326" t="s">
        <v>4457</v>
      </c>
      <c r="F141" t="s">
        <v>453</v>
      </c>
      <c r="G141" t="str">
        <f t="shared" si="5"/>
        <v>MA</v>
      </c>
      <c r="K141" t="s">
        <v>2556</v>
      </c>
      <c r="AA141" t="s">
        <v>3429</v>
      </c>
    </row>
    <row r="142" spans="1:27" x14ac:dyDescent="0.35">
      <c r="A142" s="328" t="s">
        <v>454</v>
      </c>
      <c r="B142" t="s">
        <v>455</v>
      </c>
      <c r="C142" s="328" t="s">
        <v>3600</v>
      </c>
      <c r="D142" s="328" t="str">
        <f t="shared" si="4"/>
        <v>NACE C - 13.2 Weaving of textiles</v>
      </c>
      <c r="E142" s="326" t="s">
        <v>456</v>
      </c>
      <c r="F142" t="s">
        <v>457</v>
      </c>
      <c r="G142" t="str">
        <f t="shared" si="5"/>
        <v>MC</v>
      </c>
      <c r="K142" t="s">
        <v>2557</v>
      </c>
      <c r="AA142" t="s">
        <v>3430</v>
      </c>
    </row>
    <row r="143" spans="1:27" x14ac:dyDescent="0.35">
      <c r="A143" s="329" t="s">
        <v>458</v>
      </c>
      <c r="B143" t="s">
        <v>459</v>
      </c>
      <c r="C143" s="325" t="s">
        <v>3601</v>
      </c>
      <c r="D143" s="329" t="str">
        <f t="shared" si="4"/>
        <v>NACE C - 13.20 Weaving of textiles</v>
      </c>
      <c r="E143" s="326" t="s">
        <v>4852</v>
      </c>
      <c r="F143" t="s">
        <v>460</v>
      </c>
      <c r="G143" t="str">
        <f t="shared" si="5"/>
        <v>MD</v>
      </c>
      <c r="K143" t="s">
        <v>2868</v>
      </c>
      <c r="AA143" t="s">
        <v>3431</v>
      </c>
    </row>
    <row r="144" spans="1:27" x14ac:dyDescent="0.35">
      <c r="A144" s="328" t="s">
        <v>461</v>
      </c>
      <c r="B144" t="s">
        <v>462</v>
      </c>
      <c r="C144" s="328" t="s">
        <v>3602</v>
      </c>
      <c r="D144" s="328" t="str">
        <f t="shared" si="4"/>
        <v>NACE C - 13.3 Finishing of textiles</v>
      </c>
      <c r="E144" s="326" t="s">
        <v>4458</v>
      </c>
      <c r="F144" t="s">
        <v>463</v>
      </c>
      <c r="G144" t="str">
        <f t="shared" si="5"/>
        <v>ME</v>
      </c>
      <c r="K144" t="s">
        <v>2992</v>
      </c>
      <c r="AA144" t="s">
        <v>3432</v>
      </c>
    </row>
    <row r="145" spans="1:27" x14ac:dyDescent="0.35">
      <c r="A145" s="329" t="s">
        <v>464</v>
      </c>
      <c r="B145" t="s">
        <v>465</v>
      </c>
      <c r="C145" s="328" t="s">
        <v>3603</v>
      </c>
      <c r="D145" s="329" t="str">
        <f t="shared" si="4"/>
        <v>NACE C - 13.30 Finishing of textiles</v>
      </c>
      <c r="E145" s="326" t="s">
        <v>4459</v>
      </c>
      <c r="F145" t="s">
        <v>466</v>
      </c>
      <c r="G145" t="str">
        <f t="shared" si="5"/>
        <v>MF</v>
      </c>
      <c r="K145" t="s">
        <v>2558</v>
      </c>
      <c r="AA145" t="s">
        <v>3433</v>
      </c>
    </row>
    <row r="146" spans="1:27" x14ac:dyDescent="0.35">
      <c r="A146" s="328" t="s">
        <v>467</v>
      </c>
      <c r="B146" t="s">
        <v>468</v>
      </c>
      <c r="C146" s="328" t="s">
        <v>3604</v>
      </c>
      <c r="D146" s="328" t="str">
        <f t="shared" si="4"/>
        <v>NACE C - 13.9 Manufacture of other textiles</v>
      </c>
      <c r="E146" s="326" t="s">
        <v>469</v>
      </c>
      <c r="F146" t="s">
        <v>470</v>
      </c>
      <c r="G146" t="str">
        <f t="shared" si="5"/>
        <v>MG</v>
      </c>
      <c r="K146" t="s">
        <v>2993</v>
      </c>
      <c r="AA146" t="s">
        <v>3434</v>
      </c>
    </row>
    <row r="147" spans="1:27" x14ac:dyDescent="0.35">
      <c r="A147" s="329" t="s">
        <v>471</v>
      </c>
      <c r="B147" t="s">
        <v>472</v>
      </c>
      <c r="C147" s="328" t="s">
        <v>3605</v>
      </c>
      <c r="D147" s="329" t="str">
        <f t="shared" si="4"/>
        <v>NACE C - 13.91 Manufacture of knitted and crocheted fabrics</v>
      </c>
      <c r="E147" s="326" t="s">
        <v>4460</v>
      </c>
      <c r="F147" t="s">
        <v>473</v>
      </c>
      <c r="G147" t="str">
        <f t="shared" si="5"/>
        <v>MH</v>
      </c>
      <c r="K147" t="s">
        <v>2559</v>
      </c>
      <c r="AA147" t="s">
        <v>3435</v>
      </c>
    </row>
    <row r="148" spans="1:27" x14ac:dyDescent="0.35">
      <c r="A148" s="329" t="s">
        <v>474</v>
      </c>
      <c r="B148" t="s">
        <v>475</v>
      </c>
      <c r="C148" s="328" t="s">
        <v>3606</v>
      </c>
      <c r="D148" s="329" t="str">
        <f t="shared" si="4"/>
        <v>NACE C - 13.92 Manufacture of household textiles and made-up furnishing articles</v>
      </c>
      <c r="E148" s="326" t="s">
        <v>4461</v>
      </c>
      <c r="F148" t="s">
        <v>476</v>
      </c>
      <c r="G148" t="str">
        <f t="shared" si="5"/>
        <v>MK</v>
      </c>
      <c r="K148" t="s">
        <v>2560</v>
      </c>
      <c r="AA148" t="s">
        <v>3436</v>
      </c>
    </row>
    <row r="149" spans="1:27" x14ac:dyDescent="0.35">
      <c r="A149" s="329" t="s">
        <v>477</v>
      </c>
      <c r="B149" t="s">
        <v>478</v>
      </c>
      <c r="C149" s="328" t="s">
        <v>3607</v>
      </c>
      <c r="D149" s="329" t="str">
        <f t="shared" si="4"/>
        <v>NACE C - 13.93 Manufacture of carpets and rugs</v>
      </c>
      <c r="E149" s="326" t="s">
        <v>479</v>
      </c>
      <c r="F149" t="s">
        <v>480</v>
      </c>
      <c r="G149" t="str">
        <f t="shared" si="5"/>
        <v>ML</v>
      </c>
      <c r="K149" t="s">
        <v>2869</v>
      </c>
      <c r="AA149" t="s">
        <v>3437</v>
      </c>
    </row>
    <row r="150" spans="1:27" x14ac:dyDescent="0.35">
      <c r="A150" s="329" t="s">
        <v>481</v>
      </c>
      <c r="B150" t="s">
        <v>482</v>
      </c>
      <c r="C150" s="325" t="s">
        <v>3608</v>
      </c>
      <c r="D150" s="329" t="str">
        <f t="shared" si="4"/>
        <v>NACE C - 13.94 Manufacture of cordage, rope, twine and netting</v>
      </c>
      <c r="E150" s="326" t="s">
        <v>483</v>
      </c>
      <c r="F150" t="s">
        <v>484</v>
      </c>
      <c r="G150" t="str">
        <f t="shared" si="5"/>
        <v>MM</v>
      </c>
      <c r="K150" t="s">
        <v>2994</v>
      </c>
      <c r="AA150" t="s">
        <v>3438</v>
      </c>
    </row>
    <row r="151" spans="1:27" x14ac:dyDescent="0.35">
      <c r="A151" s="329" t="s">
        <v>485</v>
      </c>
      <c r="B151" t="s">
        <v>486</v>
      </c>
      <c r="C151" s="328" t="s">
        <v>3609</v>
      </c>
      <c r="D151" s="329" t="str">
        <f t="shared" si="4"/>
        <v>NACE C - 13.95 Manufacture of non-wovens and non-woven articles</v>
      </c>
      <c r="E151" s="326" t="s">
        <v>4462</v>
      </c>
      <c r="F151" t="s">
        <v>487</v>
      </c>
      <c r="G151" t="str">
        <f t="shared" si="5"/>
        <v>MN</v>
      </c>
      <c r="K151" t="s">
        <v>2561</v>
      </c>
      <c r="AA151" t="s">
        <v>3439</v>
      </c>
    </row>
    <row r="152" spans="1:27" x14ac:dyDescent="0.35">
      <c r="A152" s="329" t="s">
        <v>488</v>
      </c>
      <c r="B152" t="s">
        <v>489</v>
      </c>
      <c r="C152" s="328" t="s">
        <v>3610</v>
      </c>
      <c r="D152" s="329" t="str">
        <f t="shared" si="4"/>
        <v>NACE C - 13.96 Manufacture of other technical and industrial textiles</v>
      </c>
      <c r="E152" s="326" t="s">
        <v>490</v>
      </c>
      <c r="F152" t="s">
        <v>491</v>
      </c>
      <c r="G152" t="str">
        <f t="shared" si="5"/>
        <v>MO</v>
      </c>
      <c r="K152" t="s">
        <v>2562</v>
      </c>
      <c r="AA152" t="s">
        <v>3440</v>
      </c>
    </row>
    <row r="153" spans="1:27" x14ac:dyDescent="0.35">
      <c r="A153" s="329" t="s">
        <v>492</v>
      </c>
      <c r="B153" t="s">
        <v>493</v>
      </c>
      <c r="C153" s="326" t="s">
        <v>3493</v>
      </c>
      <c r="D153" s="329" t="str">
        <f t="shared" si="4"/>
        <v>NACE C - 13.99 Manufacture of other textiles n.e.c.</v>
      </c>
      <c r="E153" s="326" t="s">
        <v>4463</v>
      </c>
      <c r="F153" t="s">
        <v>494</v>
      </c>
      <c r="G153" t="str">
        <f t="shared" si="5"/>
        <v>MP</v>
      </c>
      <c r="K153" t="s">
        <v>2870</v>
      </c>
      <c r="AA153" t="s">
        <v>3441</v>
      </c>
    </row>
    <row r="154" spans="1:27" x14ac:dyDescent="0.35">
      <c r="A154" s="325" t="s">
        <v>495</v>
      </c>
      <c r="B154" t="s">
        <v>496</v>
      </c>
      <c r="C154" s="325" t="s">
        <v>3612</v>
      </c>
      <c r="D154" s="325" t="str">
        <f t="shared" si="4"/>
        <v>NACE C - 14 Manufacture of wearing apparel</v>
      </c>
      <c r="E154" s="326" t="s">
        <v>497</v>
      </c>
      <c r="F154" t="s">
        <v>498</v>
      </c>
      <c r="G154" t="str">
        <f t="shared" si="5"/>
        <v>MQ</v>
      </c>
      <c r="K154" t="s">
        <v>2995</v>
      </c>
      <c r="AA154" t="s">
        <v>3442</v>
      </c>
    </row>
    <row r="155" spans="1:27" x14ac:dyDescent="0.35">
      <c r="A155" s="328" t="s">
        <v>499</v>
      </c>
      <c r="B155" t="s">
        <v>500</v>
      </c>
      <c r="C155" s="328" t="s">
        <v>3613</v>
      </c>
      <c r="D155" s="328" t="str">
        <f t="shared" si="4"/>
        <v>NACE C - 14.1 Manufacture of knitted and crocheted apparel</v>
      </c>
      <c r="E155" s="326" t="s">
        <v>4464</v>
      </c>
      <c r="F155" t="s">
        <v>501</v>
      </c>
      <c r="G155" t="str">
        <f t="shared" si="5"/>
        <v>MR</v>
      </c>
      <c r="K155" t="s">
        <v>2996</v>
      </c>
      <c r="AA155" t="s">
        <v>3443</v>
      </c>
    </row>
    <row r="156" spans="1:27" x14ac:dyDescent="0.35">
      <c r="A156" s="329" t="s">
        <v>502</v>
      </c>
      <c r="B156" t="s">
        <v>503</v>
      </c>
      <c r="C156" s="328" t="s">
        <v>3614</v>
      </c>
      <c r="D156" s="329" t="str">
        <f t="shared" si="4"/>
        <v>NACE C - 14.10 Manufacture of knitted and crocheted apparel</v>
      </c>
      <c r="E156" s="326" t="s">
        <v>504</v>
      </c>
      <c r="F156" t="s">
        <v>505</v>
      </c>
      <c r="G156" t="str">
        <f t="shared" si="5"/>
        <v>MS</v>
      </c>
      <c r="K156" t="s">
        <v>2997</v>
      </c>
      <c r="AA156" t="s">
        <v>3444</v>
      </c>
    </row>
    <row r="157" spans="1:27" x14ac:dyDescent="0.35">
      <c r="A157" s="328" t="s">
        <v>506</v>
      </c>
      <c r="B157" t="s">
        <v>507</v>
      </c>
      <c r="C157" s="328" t="s">
        <v>3615</v>
      </c>
      <c r="D157" s="328" t="str">
        <f t="shared" si="4"/>
        <v>NACE C - 14.2 Manufacture of other wearing apparel and accessories</v>
      </c>
      <c r="E157" s="326" t="s">
        <v>4465</v>
      </c>
      <c r="F157" t="s">
        <v>508</v>
      </c>
      <c r="G157" t="str">
        <f t="shared" si="5"/>
        <v>MT</v>
      </c>
      <c r="K157" t="s">
        <v>2998</v>
      </c>
      <c r="AA157" t="s">
        <v>3445</v>
      </c>
    </row>
    <row r="158" spans="1:27" x14ac:dyDescent="0.35">
      <c r="A158" s="329" t="s">
        <v>509</v>
      </c>
      <c r="B158" t="s">
        <v>510</v>
      </c>
      <c r="C158" s="328" t="s">
        <v>3616</v>
      </c>
      <c r="D158" s="329" t="str">
        <f t="shared" si="4"/>
        <v>NACE C - 14.21 Manufacture of outerwear</v>
      </c>
      <c r="E158" s="326" t="s">
        <v>4466</v>
      </c>
      <c r="F158" t="s">
        <v>511</v>
      </c>
      <c r="G158" t="str">
        <f t="shared" si="5"/>
        <v>MU</v>
      </c>
      <c r="K158" t="s">
        <v>2999</v>
      </c>
      <c r="AA158" t="s">
        <v>3446</v>
      </c>
    </row>
    <row r="159" spans="1:27" x14ac:dyDescent="0.35">
      <c r="A159" s="329" t="s">
        <v>512</v>
      </c>
      <c r="B159" t="s">
        <v>513</v>
      </c>
      <c r="C159" s="326" t="s">
        <v>3611</v>
      </c>
      <c r="D159" s="329" t="str">
        <f t="shared" si="4"/>
        <v>NACE C - 14.22 Manufacture of underwear</v>
      </c>
      <c r="E159" s="326" t="s">
        <v>514</v>
      </c>
      <c r="F159" t="s">
        <v>515</v>
      </c>
      <c r="G159" t="str">
        <f t="shared" si="5"/>
        <v>MV</v>
      </c>
      <c r="K159" t="s">
        <v>2444</v>
      </c>
      <c r="AA159" t="s">
        <v>3447</v>
      </c>
    </row>
    <row r="160" spans="1:27" x14ac:dyDescent="0.35">
      <c r="A160" s="329" t="s">
        <v>516</v>
      </c>
      <c r="B160" t="s">
        <v>517</v>
      </c>
      <c r="C160" s="325" t="s">
        <v>3618</v>
      </c>
      <c r="D160" s="329" t="str">
        <f t="shared" si="4"/>
        <v>NACE C - 14.23 Manufacture of workwear</v>
      </c>
      <c r="E160" s="326" t="s">
        <v>518</v>
      </c>
      <c r="F160" t="s">
        <v>519</v>
      </c>
      <c r="G160" t="str">
        <f t="shared" si="5"/>
        <v>MW</v>
      </c>
      <c r="K160" t="s">
        <v>2871</v>
      </c>
      <c r="AA160" t="s">
        <v>3448</v>
      </c>
    </row>
    <row r="161" spans="1:27" x14ac:dyDescent="0.35">
      <c r="A161" s="329" t="s">
        <v>520</v>
      </c>
      <c r="B161" t="s">
        <v>521</v>
      </c>
      <c r="C161" s="328" t="s">
        <v>3619</v>
      </c>
      <c r="D161" s="329" t="str">
        <f t="shared" si="4"/>
        <v>NACE C - 14.24 Manufacture of leather clothes and fur apparel</v>
      </c>
      <c r="E161" s="326" t="s">
        <v>4467</v>
      </c>
      <c r="F161" t="s">
        <v>522</v>
      </c>
      <c r="G161" t="str">
        <f t="shared" si="5"/>
        <v>MX</v>
      </c>
      <c r="K161" t="s">
        <v>3000</v>
      </c>
      <c r="AA161" t="s">
        <v>3449</v>
      </c>
    </row>
    <row r="162" spans="1:27" x14ac:dyDescent="0.35">
      <c r="A162" s="329" t="s">
        <v>523</v>
      </c>
      <c r="B162" t="s">
        <v>524</v>
      </c>
      <c r="C162" s="325" t="s">
        <v>3620</v>
      </c>
      <c r="D162" s="329" t="str">
        <f t="shared" si="4"/>
        <v>NACE C - 14.29 Manufacture of other wearing apparel and accessories n.e.c.</v>
      </c>
      <c r="E162" s="326" t="s">
        <v>4468</v>
      </c>
      <c r="F162" t="s">
        <v>525</v>
      </c>
      <c r="G162" t="str">
        <f t="shared" si="5"/>
        <v>MY</v>
      </c>
      <c r="K162" t="s">
        <v>3001</v>
      </c>
      <c r="AA162" t="s">
        <v>3450</v>
      </c>
    </row>
    <row r="163" spans="1:27" x14ac:dyDescent="0.35">
      <c r="A163" s="325" t="s">
        <v>526</v>
      </c>
      <c r="B163" t="s">
        <v>527</v>
      </c>
      <c r="C163" s="328" t="s">
        <v>3621</v>
      </c>
      <c r="D163" s="325" t="str">
        <f t="shared" si="4"/>
        <v>NACE C - 15 Manufacture of leather and related products of other materials</v>
      </c>
      <c r="E163" s="326" t="s">
        <v>528</v>
      </c>
      <c r="F163" t="s">
        <v>529</v>
      </c>
      <c r="G163" t="str">
        <f t="shared" si="5"/>
        <v>MZ</v>
      </c>
      <c r="K163" t="s">
        <v>3002</v>
      </c>
      <c r="AA163" t="s">
        <v>3451</v>
      </c>
    </row>
    <row r="164" spans="1:27" x14ac:dyDescent="0.35">
      <c r="A164" s="328" t="s">
        <v>530</v>
      </c>
      <c r="B164" t="s">
        <v>531</v>
      </c>
      <c r="C164" s="325" t="s">
        <v>3622</v>
      </c>
      <c r="D164" s="328" t="str">
        <f t="shared" si="4"/>
        <v>NACE C - 15.1 Tanning, dyeing, dressing of leather and fur; manufacture of luggage, handbags, saddlery and harness</v>
      </c>
      <c r="E164" s="326" t="s">
        <v>4469</v>
      </c>
      <c r="F164" t="s">
        <v>532</v>
      </c>
      <c r="G164" t="str">
        <f t="shared" si="5"/>
        <v>NA</v>
      </c>
      <c r="K164" t="s">
        <v>3003</v>
      </c>
      <c r="AA164" t="s">
        <v>3452</v>
      </c>
    </row>
    <row r="165" spans="1:27" x14ac:dyDescent="0.35">
      <c r="A165" s="329" t="s">
        <v>533</v>
      </c>
      <c r="B165" t="s">
        <v>534</v>
      </c>
      <c r="C165" s="328" t="s">
        <v>3623</v>
      </c>
      <c r="D165" s="329" t="str">
        <f t="shared" si="4"/>
        <v>NACE C - 15.11 Tanning, dressing, dyeing of leather and fur</v>
      </c>
      <c r="E165" s="326" t="s">
        <v>4470</v>
      </c>
      <c r="F165" t="s">
        <v>535</v>
      </c>
      <c r="G165" t="str">
        <f t="shared" si="5"/>
        <v>NC</v>
      </c>
      <c r="K165" t="s">
        <v>3004</v>
      </c>
      <c r="AA165" t="s">
        <v>3453</v>
      </c>
    </row>
    <row r="166" spans="1:27" x14ac:dyDescent="0.35">
      <c r="A166" s="329" t="s">
        <v>536</v>
      </c>
      <c r="B166" t="s">
        <v>537</v>
      </c>
      <c r="C166" s="328" t="s">
        <v>3624</v>
      </c>
      <c r="D166" s="329" t="str">
        <f t="shared" si="4"/>
        <v>NACE C - 15.12 Manufacture of luggage, handbags, saddlery and harness of any material</v>
      </c>
      <c r="E166" s="326" t="s">
        <v>538</v>
      </c>
      <c r="F166" t="s">
        <v>539</v>
      </c>
      <c r="G166" t="str">
        <f t="shared" si="5"/>
        <v>NE</v>
      </c>
      <c r="K166" t="s">
        <v>3005</v>
      </c>
      <c r="AA166" t="s">
        <v>3454</v>
      </c>
    </row>
    <row r="167" spans="1:27" x14ac:dyDescent="0.35">
      <c r="A167" s="328" t="s">
        <v>540</v>
      </c>
      <c r="B167" t="s">
        <v>541</v>
      </c>
      <c r="C167" s="328" t="s">
        <v>3625</v>
      </c>
      <c r="D167" s="328" t="str">
        <f t="shared" si="4"/>
        <v>NACE C - 15.2 Manufacture of footwear</v>
      </c>
      <c r="E167" s="326" t="s">
        <v>4471</v>
      </c>
      <c r="F167" t="s">
        <v>542</v>
      </c>
      <c r="G167" t="str">
        <f t="shared" si="5"/>
        <v>NF</v>
      </c>
      <c r="K167" t="s">
        <v>2872</v>
      </c>
      <c r="AA167" t="s">
        <v>3455</v>
      </c>
    </row>
    <row r="168" spans="1:27" x14ac:dyDescent="0.35">
      <c r="A168" s="329" t="s">
        <v>543</v>
      </c>
      <c r="B168" t="s">
        <v>544</v>
      </c>
      <c r="C168" s="325" t="s">
        <v>3626</v>
      </c>
      <c r="D168" s="329" t="str">
        <f t="shared" si="4"/>
        <v>NACE C - 15.20 Manufacture of footwear</v>
      </c>
      <c r="E168" s="326" t="s">
        <v>545</v>
      </c>
      <c r="F168" t="s">
        <v>546</v>
      </c>
      <c r="G168" t="str">
        <f t="shared" si="5"/>
        <v>NG</v>
      </c>
      <c r="K168" t="s">
        <v>3006</v>
      </c>
      <c r="AA168" t="s">
        <v>3456</v>
      </c>
    </row>
    <row r="169" spans="1:27" x14ac:dyDescent="0.35">
      <c r="A169" s="325" t="s">
        <v>547</v>
      </c>
      <c r="B169" t="s">
        <v>548</v>
      </c>
      <c r="C169" s="328" t="s">
        <v>3627</v>
      </c>
      <c r="D169" s="325" t="str">
        <f t="shared" si="4"/>
        <v>NACE C - 16 Manufacture of wood and of products of wood and cork, except furniture; manufacture of articles of straw and plaiting materials</v>
      </c>
      <c r="E169" s="326" t="s">
        <v>549</v>
      </c>
      <c r="F169" t="s">
        <v>550</v>
      </c>
      <c r="G169" t="str">
        <f t="shared" si="5"/>
        <v>NI</v>
      </c>
      <c r="K169" t="s">
        <v>3007</v>
      </c>
      <c r="AA169" t="s">
        <v>3457</v>
      </c>
    </row>
    <row r="170" spans="1:27" x14ac:dyDescent="0.35">
      <c r="A170" s="328" t="s">
        <v>551</v>
      </c>
      <c r="B170" t="s">
        <v>552</v>
      </c>
      <c r="C170" s="326" t="s">
        <v>3617</v>
      </c>
      <c r="D170" s="328" t="str">
        <f t="shared" si="4"/>
        <v>NACE C - 16.1 Sawmilling and planing of wood; processing and finishing of wood</v>
      </c>
      <c r="E170" s="326" t="s">
        <v>4472</v>
      </c>
      <c r="F170" t="s">
        <v>553</v>
      </c>
      <c r="G170" t="str">
        <f t="shared" si="5"/>
        <v>NL</v>
      </c>
      <c r="K170" t="s">
        <v>3008</v>
      </c>
      <c r="AA170" t="s">
        <v>3458</v>
      </c>
    </row>
    <row r="171" spans="1:27" x14ac:dyDescent="0.35">
      <c r="A171" s="329" t="s">
        <v>554</v>
      </c>
      <c r="B171" t="s">
        <v>555</v>
      </c>
      <c r="C171" s="325" t="s">
        <v>3629</v>
      </c>
      <c r="D171" s="329" t="str">
        <f t="shared" si="4"/>
        <v>NACE C - 16.11 Sawmilling and planing of wood</v>
      </c>
      <c r="E171" s="326" t="s">
        <v>4473</v>
      </c>
      <c r="F171" t="s">
        <v>556</v>
      </c>
      <c r="G171" t="str">
        <f t="shared" si="5"/>
        <v>NO</v>
      </c>
      <c r="K171" t="s">
        <v>3009</v>
      </c>
    </row>
    <row r="172" spans="1:27" x14ac:dyDescent="0.35">
      <c r="A172" s="329" t="s">
        <v>557</v>
      </c>
      <c r="B172" t="s">
        <v>558</v>
      </c>
      <c r="C172" s="328" t="s">
        <v>3630</v>
      </c>
      <c r="D172" s="329" t="str">
        <f t="shared" si="4"/>
        <v>NACE C - 16.12 Processing and finishing of wood</v>
      </c>
      <c r="E172" s="326" t="s">
        <v>4474</v>
      </c>
      <c r="F172" t="s">
        <v>559</v>
      </c>
      <c r="G172" t="str">
        <f t="shared" si="5"/>
        <v>NP</v>
      </c>
      <c r="K172" t="s">
        <v>2873</v>
      </c>
    </row>
    <row r="173" spans="1:27" x14ac:dyDescent="0.35">
      <c r="A173" s="328" t="s">
        <v>560</v>
      </c>
      <c r="B173" t="s">
        <v>561</v>
      </c>
      <c r="C173" s="325" t="s">
        <v>3631</v>
      </c>
      <c r="D173" s="328" t="str">
        <f t="shared" si="4"/>
        <v>NACE C - 16.2 Manufacture of products of wood, cork, straw and plaiting materials</v>
      </c>
      <c r="E173" s="326" t="s">
        <v>562</v>
      </c>
      <c r="F173" t="s">
        <v>563</v>
      </c>
      <c r="G173" t="str">
        <f t="shared" si="5"/>
        <v>NR</v>
      </c>
      <c r="K173" t="s">
        <v>2563</v>
      </c>
    </row>
    <row r="174" spans="1:27" x14ac:dyDescent="0.35">
      <c r="A174" s="329" t="s">
        <v>564</v>
      </c>
      <c r="B174" t="s">
        <v>565</v>
      </c>
      <c r="C174" s="328" t="s">
        <v>3632</v>
      </c>
      <c r="D174" s="329" t="str">
        <f t="shared" si="4"/>
        <v>NACE C - 16.21 Manufacture of veneer sheets and wood-based panels</v>
      </c>
      <c r="E174" s="326" t="s">
        <v>4532</v>
      </c>
      <c r="F174" t="s">
        <v>566</v>
      </c>
      <c r="G174" t="str">
        <f t="shared" si="5"/>
        <v>NT</v>
      </c>
      <c r="K174" t="s">
        <v>2564</v>
      </c>
    </row>
    <row r="175" spans="1:27" x14ac:dyDescent="0.35">
      <c r="A175" s="329" t="s">
        <v>567</v>
      </c>
      <c r="B175" t="s">
        <v>568</v>
      </c>
      <c r="C175" s="328" t="s">
        <v>3633</v>
      </c>
      <c r="D175" s="329" t="str">
        <f t="shared" si="4"/>
        <v>NACE C - 16.22 Manufacture of assembled parquet floors</v>
      </c>
      <c r="E175" s="326" t="s">
        <v>4475</v>
      </c>
      <c r="F175" t="s">
        <v>569</v>
      </c>
      <c r="G175" t="str">
        <f t="shared" si="5"/>
        <v>NU</v>
      </c>
      <c r="K175" t="s">
        <v>2565</v>
      </c>
    </row>
    <row r="176" spans="1:27" x14ac:dyDescent="0.35">
      <c r="A176" s="329" t="s">
        <v>570</v>
      </c>
      <c r="B176" t="s">
        <v>571</v>
      </c>
      <c r="C176" s="328" t="s">
        <v>3634</v>
      </c>
      <c r="D176" s="329" t="str">
        <f t="shared" si="4"/>
        <v>NACE C - 16.23 Manufacture of other builders’ carpentry and joinery</v>
      </c>
      <c r="E176" s="326" t="s">
        <v>4476</v>
      </c>
      <c r="F176" t="s">
        <v>572</v>
      </c>
      <c r="G176" t="str">
        <f t="shared" si="5"/>
        <v>NZ</v>
      </c>
      <c r="K176" t="s">
        <v>2566</v>
      </c>
    </row>
    <row r="177" spans="1:11" x14ac:dyDescent="0.35">
      <c r="A177" s="329" t="s">
        <v>573</v>
      </c>
      <c r="B177" t="s">
        <v>574</v>
      </c>
      <c r="C177" s="325" t="s">
        <v>3635</v>
      </c>
      <c r="D177" s="329" t="str">
        <f t="shared" si="4"/>
        <v>NACE C - 16.24 Manufacture of wooden containers</v>
      </c>
      <c r="E177" s="326" t="s">
        <v>575</v>
      </c>
      <c r="F177" t="s">
        <v>576</v>
      </c>
      <c r="G177" t="str">
        <f t="shared" si="5"/>
        <v>OM</v>
      </c>
      <c r="K177" t="s">
        <v>2567</v>
      </c>
    </row>
    <row r="178" spans="1:11" x14ac:dyDescent="0.35">
      <c r="A178" s="329" t="s">
        <v>577</v>
      </c>
      <c r="B178" t="s">
        <v>578</v>
      </c>
      <c r="C178" s="328" t="s">
        <v>3636</v>
      </c>
      <c r="D178" s="329" t="str">
        <f t="shared" si="4"/>
        <v>NACE C - 16.25 Manufacture of doors and windows of wood</v>
      </c>
      <c r="E178" s="326" t="s">
        <v>579</v>
      </c>
      <c r="F178" t="s">
        <v>580</v>
      </c>
      <c r="G178" t="str">
        <f t="shared" si="5"/>
        <v>PA</v>
      </c>
      <c r="K178" t="s">
        <v>2568</v>
      </c>
    </row>
    <row r="179" spans="1:11" x14ac:dyDescent="0.35">
      <c r="A179" s="329" t="s">
        <v>581</v>
      </c>
      <c r="B179" t="s">
        <v>582</v>
      </c>
      <c r="C179" s="328" t="s">
        <v>3637</v>
      </c>
      <c r="D179" s="329" t="str">
        <f t="shared" si="4"/>
        <v>NACE C - 16.26 Manufacture of solid fuels from vegetable biomass</v>
      </c>
      <c r="E179" s="326" t="s">
        <v>4477</v>
      </c>
      <c r="F179" t="s">
        <v>583</v>
      </c>
      <c r="G179" t="str">
        <f t="shared" si="5"/>
        <v>PE</v>
      </c>
      <c r="K179" t="s">
        <v>2569</v>
      </c>
    </row>
    <row r="180" spans="1:11" x14ac:dyDescent="0.35">
      <c r="A180" s="329" t="s">
        <v>584</v>
      </c>
      <c r="B180" t="s">
        <v>585</v>
      </c>
      <c r="C180" s="328" t="s">
        <v>3638</v>
      </c>
      <c r="D180" s="329" t="str">
        <f t="shared" si="4"/>
        <v>NACE C - 16.27 Finishing of wooden products</v>
      </c>
      <c r="E180" s="326" t="s">
        <v>4478</v>
      </c>
      <c r="F180" t="s">
        <v>586</v>
      </c>
      <c r="G180" t="str">
        <f t="shared" si="5"/>
        <v>PF</v>
      </c>
      <c r="K180" t="s">
        <v>2570</v>
      </c>
    </row>
    <row r="181" spans="1:11" x14ac:dyDescent="0.35">
      <c r="A181" s="329" t="s">
        <v>587</v>
      </c>
      <c r="B181" t="s">
        <v>588</v>
      </c>
      <c r="C181" s="328" t="s">
        <v>3639</v>
      </c>
      <c r="D181" s="329" t="str">
        <f t="shared" si="4"/>
        <v>NACE C - 16.28 Manufacture of other products of wood and articles of cork, straw and plaiting materials</v>
      </c>
      <c r="E181" s="326" t="s">
        <v>4479</v>
      </c>
      <c r="F181" t="s">
        <v>589</v>
      </c>
      <c r="G181" t="str">
        <f t="shared" si="5"/>
        <v>PG</v>
      </c>
      <c r="K181" t="s">
        <v>2571</v>
      </c>
    </row>
    <row r="182" spans="1:11" x14ac:dyDescent="0.35">
      <c r="A182" s="325" t="s">
        <v>590</v>
      </c>
      <c r="B182" t="s">
        <v>591</v>
      </c>
      <c r="C182" s="328" t="s">
        <v>3640</v>
      </c>
      <c r="D182" s="325" t="str">
        <f t="shared" si="4"/>
        <v>NACE C - 17 Manufacture of paper and paper products</v>
      </c>
      <c r="E182" s="326" t="s">
        <v>592</v>
      </c>
      <c r="F182" t="s">
        <v>593</v>
      </c>
      <c r="G182" t="str">
        <f t="shared" si="5"/>
        <v>PH</v>
      </c>
      <c r="K182" t="s">
        <v>2572</v>
      </c>
    </row>
    <row r="183" spans="1:11" x14ac:dyDescent="0.35">
      <c r="A183" s="328" t="s">
        <v>594</v>
      </c>
      <c r="B183" t="s">
        <v>595</v>
      </c>
      <c r="C183" s="328" t="s">
        <v>3641</v>
      </c>
      <c r="D183" s="328" t="str">
        <f t="shared" si="4"/>
        <v>NACE C - 17.1 Manufacture of pulp, paper and paperboard</v>
      </c>
      <c r="E183" s="326" t="s">
        <v>596</v>
      </c>
      <c r="F183" t="s">
        <v>597</v>
      </c>
      <c r="G183" t="str">
        <f t="shared" si="5"/>
        <v>PK</v>
      </c>
      <c r="K183" t="s">
        <v>3010</v>
      </c>
    </row>
    <row r="184" spans="1:11" x14ac:dyDescent="0.35">
      <c r="A184" s="329" t="s">
        <v>598</v>
      </c>
      <c r="B184" t="s">
        <v>599</v>
      </c>
      <c r="C184" s="328" t="s">
        <v>3642</v>
      </c>
      <c r="D184" s="329" t="str">
        <f t="shared" si="4"/>
        <v>NACE C - 17.11 Manufacture of pulp</v>
      </c>
      <c r="E184" s="326" t="s">
        <v>4480</v>
      </c>
      <c r="F184" t="s">
        <v>600</v>
      </c>
      <c r="G184" t="str">
        <f t="shared" si="5"/>
        <v>PL</v>
      </c>
      <c r="K184" t="s">
        <v>2573</v>
      </c>
    </row>
    <row r="185" spans="1:11" x14ac:dyDescent="0.35">
      <c r="A185" s="329" t="s">
        <v>601</v>
      </c>
      <c r="B185" t="s">
        <v>602</v>
      </c>
      <c r="C185" s="326" t="s">
        <v>3628</v>
      </c>
      <c r="D185" s="329" t="str">
        <f t="shared" si="4"/>
        <v>NACE C - 17.12 Manufacture of paper and paperboard</v>
      </c>
      <c r="E185" s="326" t="s">
        <v>4481</v>
      </c>
      <c r="F185" t="s">
        <v>603</v>
      </c>
      <c r="G185" t="str">
        <f t="shared" si="5"/>
        <v>PM</v>
      </c>
      <c r="K185" t="s">
        <v>2574</v>
      </c>
    </row>
    <row r="186" spans="1:11" x14ac:dyDescent="0.35">
      <c r="A186" s="328" t="s">
        <v>604</v>
      </c>
      <c r="B186" t="s">
        <v>605</v>
      </c>
      <c r="C186" s="325" t="s">
        <v>3644</v>
      </c>
      <c r="D186" s="328" t="str">
        <f t="shared" si="4"/>
        <v>NACE C - 17.2 Manufacture of articles of paper and paperboard</v>
      </c>
      <c r="E186" s="326" t="s">
        <v>606</v>
      </c>
      <c r="F186" t="s">
        <v>607</v>
      </c>
      <c r="G186" t="str">
        <f t="shared" si="5"/>
        <v>PN</v>
      </c>
      <c r="K186" t="s">
        <v>2874</v>
      </c>
    </row>
    <row r="187" spans="1:11" x14ac:dyDescent="0.35">
      <c r="A187" s="329" t="s">
        <v>608</v>
      </c>
      <c r="B187" t="s">
        <v>609</v>
      </c>
      <c r="C187" s="328" t="s">
        <v>3645</v>
      </c>
      <c r="D187" s="329" t="str">
        <f t="shared" si="4"/>
        <v>NACE C - 17.21 Manufacture of corrugated paper, paperboard and containers of paper and paperboard</v>
      </c>
      <c r="E187" s="326" t="s">
        <v>4482</v>
      </c>
      <c r="F187" t="s">
        <v>610</v>
      </c>
      <c r="G187" t="str">
        <f t="shared" si="5"/>
        <v>PR</v>
      </c>
      <c r="K187" t="s">
        <v>2575</v>
      </c>
    </row>
    <row r="188" spans="1:11" x14ac:dyDescent="0.35">
      <c r="A188" s="329" t="s">
        <v>611</v>
      </c>
      <c r="B188" t="s">
        <v>612</v>
      </c>
      <c r="C188" s="328" t="s">
        <v>3646</v>
      </c>
      <c r="D188" s="329" t="str">
        <f t="shared" si="4"/>
        <v>NACE C - 17.22 Manufacture of household and sanitary goods and of toilet requisites</v>
      </c>
      <c r="E188" s="326" t="s">
        <v>4483</v>
      </c>
      <c r="F188" t="s">
        <v>613</v>
      </c>
      <c r="G188" t="str">
        <f t="shared" si="5"/>
        <v>PS</v>
      </c>
      <c r="K188" t="s">
        <v>3011</v>
      </c>
    </row>
    <row r="189" spans="1:11" x14ac:dyDescent="0.35">
      <c r="A189" s="329" t="s">
        <v>614</v>
      </c>
      <c r="B189" t="s">
        <v>615</v>
      </c>
      <c r="C189" s="328" t="s">
        <v>3647</v>
      </c>
      <c r="D189" s="329" t="str">
        <f t="shared" si="4"/>
        <v>NACE C - 17.23 Manufacture of paper stationery</v>
      </c>
      <c r="E189" s="326" t="s">
        <v>616</v>
      </c>
      <c r="F189" t="s">
        <v>617</v>
      </c>
      <c r="G189" t="str">
        <f t="shared" si="5"/>
        <v>PT</v>
      </c>
      <c r="K189" t="s">
        <v>3012</v>
      </c>
    </row>
    <row r="190" spans="1:11" x14ac:dyDescent="0.35">
      <c r="A190" s="329" t="s">
        <v>618</v>
      </c>
      <c r="B190" t="s">
        <v>619</v>
      </c>
      <c r="C190" s="328" t="s">
        <v>3648</v>
      </c>
      <c r="D190" s="329" t="str">
        <f t="shared" si="4"/>
        <v>NACE C - 17.24 Manufacture of wallpaper</v>
      </c>
      <c r="E190" s="326" t="s">
        <v>4484</v>
      </c>
      <c r="F190" t="s">
        <v>620</v>
      </c>
      <c r="G190" t="str">
        <f t="shared" si="5"/>
        <v>PW</v>
      </c>
      <c r="K190" t="s">
        <v>3013</v>
      </c>
    </row>
    <row r="191" spans="1:11" x14ac:dyDescent="0.35">
      <c r="A191" s="329" t="s">
        <v>621</v>
      </c>
      <c r="B191" t="s">
        <v>622</v>
      </c>
      <c r="C191" s="328" t="s">
        <v>3649</v>
      </c>
      <c r="D191" s="329" t="str">
        <f t="shared" si="4"/>
        <v>NACE C - 17.25 Manufacture of other articles of paper and paperboard</v>
      </c>
      <c r="E191" s="326" t="s">
        <v>623</v>
      </c>
      <c r="F191" t="s">
        <v>624</v>
      </c>
      <c r="G191" t="str">
        <f t="shared" si="5"/>
        <v>PY</v>
      </c>
      <c r="K191" t="s">
        <v>3014</v>
      </c>
    </row>
    <row r="192" spans="1:11" x14ac:dyDescent="0.35">
      <c r="A192" s="325" t="s">
        <v>625</v>
      </c>
      <c r="B192" t="s">
        <v>626</v>
      </c>
      <c r="C192" s="328" t="s">
        <v>3650</v>
      </c>
      <c r="D192" s="325" t="str">
        <f t="shared" si="4"/>
        <v>NACE C - 18 Printing and reproduction of recorded media</v>
      </c>
      <c r="E192" s="326" t="s">
        <v>627</v>
      </c>
      <c r="F192" t="s">
        <v>628</v>
      </c>
      <c r="G192" t="str">
        <f t="shared" si="5"/>
        <v>QA</v>
      </c>
      <c r="K192" t="s">
        <v>2576</v>
      </c>
    </row>
    <row r="193" spans="1:11" x14ac:dyDescent="0.35">
      <c r="A193" s="328" t="s">
        <v>629</v>
      </c>
      <c r="B193" t="s">
        <v>630</v>
      </c>
      <c r="C193" s="328" t="s">
        <v>3651</v>
      </c>
      <c r="D193" s="328" t="str">
        <f t="shared" si="4"/>
        <v>NACE C - 18.1 Printing and service activities related to printing</v>
      </c>
      <c r="E193" s="326" t="s">
        <v>631</v>
      </c>
      <c r="F193" t="s">
        <v>632</v>
      </c>
      <c r="G193" t="str">
        <f t="shared" si="5"/>
        <v>RE</v>
      </c>
      <c r="K193" t="s">
        <v>2875</v>
      </c>
    </row>
    <row r="194" spans="1:11" x14ac:dyDescent="0.35">
      <c r="A194" s="329" t="s">
        <v>633</v>
      </c>
      <c r="B194" t="s">
        <v>634</v>
      </c>
      <c r="C194" s="328" t="s">
        <v>3652</v>
      </c>
      <c r="D194" s="329" t="str">
        <f t="shared" ref="D194:D257" si="6">_xlfn.CONCAT("NACE ", A194)</f>
        <v>NACE C - 18.11 Printing of newspapers</v>
      </c>
      <c r="E194" s="326" t="s">
        <v>4485</v>
      </c>
      <c r="F194" t="s">
        <v>635</v>
      </c>
      <c r="G194" t="str">
        <f t="shared" si="5"/>
        <v>RO</v>
      </c>
      <c r="K194" t="s">
        <v>3015</v>
      </c>
    </row>
    <row r="195" spans="1:11" x14ac:dyDescent="0.35">
      <c r="A195" s="329" t="s">
        <v>636</v>
      </c>
      <c r="B195" t="s">
        <v>637</v>
      </c>
      <c r="C195" s="328" t="s">
        <v>3653</v>
      </c>
      <c r="D195" s="329" t="str">
        <f t="shared" si="6"/>
        <v>NACE C - 18.12 Other printing</v>
      </c>
      <c r="E195" s="326" t="s">
        <v>4486</v>
      </c>
      <c r="F195" t="s">
        <v>638</v>
      </c>
      <c r="G195" t="str">
        <f t="shared" ref="G195:G257" si="7">RIGHT(F195,2)</f>
        <v>RS</v>
      </c>
      <c r="K195" t="s">
        <v>2577</v>
      </c>
    </row>
    <row r="196" spans="1:11" x14ac:dyDescent="0.35">
      <c r="A196" s="329" t="s">
        <v>639</v>
      </c>
      <c r="B196" t="s">
        <v>640</v>
      </c>
      <c r="C196" s="325" t="s">
        <v>3654</v>
      </c>
      <c r="D196" s="329" t="str">
        <f t="shared" si="6"/>
        <v>NACE C - 18.13 Pre-press and pre-media services</v>
      </c>
      <c r="E196" s="326" t="s">
        <v>4487</v>
      </c>
      <c r="F196" t="s">
        <v>641</v>
      </c>
      <c r="G196" t="str">
        <f t="shared" si="7"/>
        <v>RU</v>
      </c>
      <c r="K196" t="s">
        <v>2876</v>
      </c>
    </row>
    <row r="197" spans="1:11" x14ac:dyDescent="0.35">
      <c r="A197" s="329" t="s">
        <v>642</v>
      </c>
      <c r="B197" t="s">
        <v>643</v>
      </c>
      <c r="C197" s="328" t="s">
        <v>3655</v>
      </c>
      <c r="D197" s="329" t="str">
        <f t="shared" si="6"/>
        <v>NACE C - 18.14 Binding and related services</v>
      </c>
      <c r="E197" s="326" t="s">
        <v>644</v>
      </c>
      <c r="F197" t="s">
        <v>645</v>
      </c>
      <c r="G197" t="str">
        <f t="shared" si="7"/>
        <v>RW</v>
      </c>
      <c r="K197" t="s">
        <v>2578</v>
      </c>
    </row>
    <row r="198" spans="1:11" x14ac:dyDescent="0.35">
      <c r="A198" s="328" t="s">
        <v>646</v>
      </c>
      <c r="B198" t="s">
        <v>647</v>
      </c>
      <c r="C198" s="328" t="s">
        <v>3656</v>
      </c>
      <c r="D198" s="328" t="str">
        <f t="shared" si="6"/>
        <v>NACE C - 18.2 Reproduction of recorded media</v>
      </c>
      <c r="E198" s="326" t="s">
        <v>4488</v>
      </c>
      <c r="F198" t="s">
        <v>648</v>
      </c>
      <c r="G198" t="str">
        <f t="shared" si="7"/>
        <v>SA</v>
      </c>
      <c r="K198" t="s">
        <v>2579</v>
      </c>
    </row>
    <row r="199" spans="1:11" x14ac:dyDescent="0.35">
      <c r="A199" s="329" t="s">
        <v>649</v>
      </c>
      <c r="B199" t="s">
        <v>650</v>
      </c>
      <c r="C199" s="328" t="s">
        <v>3657</v>
      </c>
      <c r="D199" s="329" t="str">
        <f t="shared" si="6"/>
        <v>NACE C - 18.20 Reproduction of recorded media</v>
      </c>
      <c r="E199" s="326" t="s">
        <v>4489</v>
      </c>
      <c r="F199" t="s">
        <v>651</v>
      </c>
      <c r="G199" t="str">
        <f t="shared" si="7"/>
        <v>SB</v>
      </c>
      <c r="K199" t="s">
        <v>2877</v>
      </c>
    </row>
    <row r="200" spans="1:11" x14ac:dyDescent="0.35">
      <c r="A200" s="325" t="s">
        <v>652</v>
      </c>
      <c r="B200" t="s">
        <v>653</v>
      </c>
      <c r="C200" s="328" t="s">
        <v>3658</v>
      </c>
      <c r="D200" s="325" t="str">
        <f t="shared" si="6"/>
        <v>NACE C - 19 Manufacture of coke and refined petroleum products</v>
      </c>
      <c r="E200" s="326" t="s">
        <v>654</v>
      </c>
      <c r="F200" t="s">
        <v>655</v>
      </c>
      <c r="G200" t="str">
        <f t="shared" si="7"/>
        <v>SC</v>
      </c>
      <c r="K200" t="s">
        <v>3016</v>
      </c>
    </row>
    <row r="201" spans="1:11" x14ac:dyDescent="0.35">
      <c r="A201" s="328" t="s">
        <v>656</v>
      </c>
      <c r="B201" t="s">
        <v>657</v>
      </c>
      <c r="C201" s="328" t="s">
        <v>3659</v>
      </c>
      <c r="D201" s="328" t="str">
        <f t="shared" si="6"/>
        <v>NACE C - 19.1 Manufacture of coke oven products</v>
      </c>
      <c r="E201" s="326" t="s">
        <v>4490</v>
      </c>
      <c r="F201" t="s">
        <v>658</v>
      </c>
      <c r="G201" t="str">
        <f t="shared" si="7"/>
        <v>SD</v>
      </c>
      <c r="K201" t="s">
        <v>3017</v>
      </c>
    </row>
    <row r="202" spans="1:11" x14ac:dyDescent="0.35">
      <c r="A202" s="329" t="s">
        <v>659</v>
      </c>
      <c r="B202" t="s">
        <v>660</v>
      </c>
      <c r="C202" s="328" t="s">
        <v>3660</v>
      </c>
      <c r="D202" s="329" t="str">
        <f t="shared" si="6"/>
        <v>NACE C - 19.10 Manufacture of coke oven products</v>
      </c>
      <c r="E202" s="326" t="s">
        <v>4491</v>
      </c>
      <c r="F202" t="s">
        <v>661</v>
      </c>
      <c r="G202" t="str">
        <f t="shared" si="7"/>
        <v>SE</v>
      </c>
      <c r="K202" t="s">
        <v>2580</v>
      </c>
    </row>
    <row r="203" spans="1:11" x14ac:dyDescent="0.35">
      <c r="A203" s="328" t="s">
        <v>662</v>
      </c>
      <c r="B203" t="s">
        <v>663</v>
      </c>
      <c r="C203" s="328" t="s">
        <v>3661</v>
      </c>
      <c r="D203" s="328" t="str">
        <f t="shared" si="6"/>
        <v>NACE C - 19.2 Manufacture of refined petroleum products and fossil fuel products</v>
      </c>
      <c r="E203" s="326" t="s">
        <v>4492</v>
      </c>
      <c r="F203" t="s">
        <v>664</v>
      </c>
      <c r="G203" t="str">
        <f t="shared" si="7"/>
        <v>SG</v>
      </c>
      <c r="K203" t="s">
        <v>2878</v>
      </c>
    </row>
    <row r="204" spans="1:11" x14ac:dyDescent="0.35">
      <c r="A204" s="329" t="s">
        <v>665</v>
      </c>
      <c r="B204" t="s">
        <v>666</v>
      </c>
      <c r="C204" s="328" t="s">
        <v>3662</v>
      </c>
      <c r="D204" s="329" t="str">
        <f t="shared" si="6"/>
        <v>NACE C - 19.20 Manufacture of refined petroleum products and fossil fuel products</v>
      </c>
      <c r="E204" s="326" t="s">
        <v>4493</v>
      </c>
      <c r="F204" t="s">
        <v>667</v>
      </c>
      <c r="G204" t="str">
        <f t="shared" si="7"/>
        <v>SH</v>
      </c>
      <c r="K204" t="s">
        <v>2581</v>
      </c>
    </row>
    <row r="205" spans="1:11" x14ac:dyDescent="0.35">
      <c r="A205" s="325" t="s">
        <v>668</v>
      </c>
      <c r="B205" t="s">
        <v>669</v>
      </c>
      <c r="C205" s="328" t="s">
        <v>3663</v>
      </c>
      <c r="D205" s="325" t="str">
        <f t="shared" si="6"/>
        <v>NACE C - 20 Manufacture of chemicals and chemical products</v>
      </c>
      <c r="E205" s="326" t="s">
        <v>4494</v>
      </c>
      <c r="F205" t="s">
        <v>670</v>
      </c>
      <c r="G205" t="str">
        <f t="shared" si="7"/>
        <v>SI</v>
      </c>
      <c r="K205" t="s">
        <v>2879</v>
      </c>
    </row>
    <row r="206" spans="1:11" x14ac:dyDescent="0.35">
      <c r="A206" s="328" t="s">
        <v>671</v>
      </c>
      <c r="B206" t="s">
        <v>672</v>
      </c>
      <c r="C206" s="326" t="s">
        <v>3643</v>
      </c>
      <c r="D206" s="328" t="str">
        <f t="shared" si="6"/>
        <v>NACE C - 20.1 Manufacture of basic chemicals, fertilisers and nitrogen compounds, plastics and synthetic rubber in primary forms</v>
      </c>
      <c r="E206" s="326" t="s">
        <v>4495</v>
      </c>
      <c r="F206" t="s">
        <v>673</v>
      </c>
      <c r="G206" t="str">
        <f t="shared" si="7"/>
        <v>SJ</v>
      </c>
      <c r="K206" t="s">
        <v>2582</v>
      </c>
    </row>
    <row r="207" spans="1:11" x14ac:dyDescent="0.35">
      <c r="A207" s="329" t="s">
        <v>674</v>
      </c>
      <c r="B207" t="s">
        <v>675</v>
      </c>
      <c r="C207" s="325" t="s">
        <v>3665</v>
      </c>
      <c r="D207" s="329" t="str">
        <f t="shared" si="6"/>
        <v>NACE C - 20.11 Manufacture of industrial gases</v>
      </c>
      <c r="E207" s="326" t="s">
        <v>4496</v>
      </c>
      <c r="F207" t="s">
        <v>676</v>
      </c>
      <c r="G207" t="str">
        <f t="shared" si="7"/>
        <v>SK</v>
      </c>
      <c r="K207" t="s">
        <v>2583</v>
      </c>
    </row>
    <row r="208" spans="1:11" x14ac:dyDescent="0.35">
      <c r="A208" s="329" t="s">
        <v>677</v>
      </c>
      <c r="B208" t="s">
        <v>678</v>
      </c>
      <c r="C208" s="328" t="s">
        <v>3666</v>
      </c>
      <c r="D208" s="329" t="str">
        <f t="shared" si="6"/>
        <v>NACE C - 20.12 Manufacture of dyes and pigments</v>
      </c>
      <c r="E208" s="326" t="s">
        <v>679</v>
      </c>
      <c r="F208" t="s">
        <v>680</v>
      </c>
      <c r="G208" t="str">
        <f t="shared" si="7"/>
        <v>SL</v>
      </c>
      <c r="K208" t="s">
        <v>2584</v>
      </c>
    </row>
    <row r="209" spans="1:11" x14ac:dyDescent="0.35">
      <c r="A209" s="329" t="s">
        <v>681</v>
      </c>
      <c r="B209" t="s">
        <v>682</v>
      </c>
      <c r="C209" s="328" t="s">
        <v>3667</v>
      </c>
      <c r="D209" s="329" t="str">
        <f t="shared" si="6"/>
        <v>NACE C - 20.13 Manufacture of other inorganic basic chemicals</v>
      </c>
      <c r="E209" s="326" t="s">
        <v>4497</v>
      </c>
      <c r="F209" t="s">
        <v>683</v>
      </c>
      <c r="G209" t="str">
        <f t="shared" si="7"/>
        <v>SM</v>
      </c>
      <c r="K209" t="s">
        <v>2880</v>
      </c>
    </row>
    <row r="210" spans="1:11" x14ac:dyDescent="0.35">
      <c r="A210" s="329" t="s">
        <v>684</v>
      </c>
      <c r="B210" t="s">
        <v>685</v>
      </c>
      <c r="C210" s="328" t="s">
        <v>3668</v>
      </c>
      <c r="D210" s="329" t="str">
        <f t="shared" si="6"/>
        <v>NACE C - 20.14 Manufacture of other organic basic chemicals</v>
      </c>
      <c r="E210" s="326" t="s">
        <v>4498</v>
      </c>
      <c r="F210" t="s">
        <v>686</v>
      </c>
      <c r="G210" t="str">
        <f t="shared" si="7"/>
        <v>SN</v>
      </c>
      <c r="K210" t="s">
        <v>2585</v>
      </c>
    </row>
    <row r="211" spans="1:11" x14ac:dyDescent="0.35">
      <c r="A211" s="329" t="s">
        <v>687</v>
      </c>
      <c r="B211" t="s">
        <v>688</v>
      </c>
      <c r="C211" s="328" t="s">
        <v>3669</v>
      </c>
      <c r="D211" s="329" t="str">
        <f t="shared" si="6"/>
        <v>NACE C - 20.15 Manufacture of fertilisers and nitrogen compounds</v>
      </c>
      <c r="E211" s="326" t="s">
        <v>4499</v>
      </c>
      <c r="F211" t="s">
        <v>689</v>
      </c>
      <c r="G211" t="str">
        <f t="shared" si="7"/>
        <v>SO</v>
      </c>
      <c r="K211" t="s">
        <v>2881</v>
      </c>
    </row>
    <row r="212" spans="1:11" x14ac:dyDescent="0.35">
      <c r="A212" s="329" t="s">
        <v>690</v>
      </c>
      <c r="B212" t="s">
        <v>691</v>
      </c>
      <c r="C212" s="328" t="s">
        <v>3670</v>
      </c>
      <c r="D212" s="329" t="str">
        <f t="shared" si="6"/>
        <v>NACE C - 20.16 Manufacture of plastics in primary forms</v>
      </c>
      <c r="E212" s="326" t="s">
        <v>692</v>
      </c>
      <c r="F212" t="s">
        <v>693</v>
      </c>
      <c r="G212" t="str">
        <f t="shared" si="7"/>
        <v>SR</v>
      </c>
      <c r="K212" t="s">
        <v>2586</v>
      </c>
    </row>
    <row r="213" spans="1:11" x14ac:dyDescent="0.35">
      <c r="A213" s="329" t="s">
        <v>694</v>
      </c>
      <c r="B213" t="s">
        <v>695</v>
      </c>
      <c r="C213" s="325" t="s">
        <v>3671</v>
      </c>
      <c r="D213" s="329" t="str">
        <f t="shared" si="6"/>
        <v>NACE C - 20.17 Manufacture of synthetic rubber in primary forms</v>
      </c>
      <c r="E213" s="326" t="s">
        <v>4500</v>
      </c>
      <c r="F213" t="s">
        <v>696</v>
      </c>
      <c r="G213" t="str">
        <f t="shared" si="7"/>
        <v>SS</v>
      </c>
      <c r="K213" t="s">
        <v>2587</v>
      </c>
    </row>
    <row r="214" spans="1:11" x14ac:dyDescent="0.35">
      <c r="A214" s="328" t="s">
        <v>697</v>
      </c>
      <c r="B214" t="s">
        <v>698</v>
      </c>
      <c r="C214" s="328" t="s">
        <v>3672</v>
      </c>
      <c r="D214" s="328" t="str">
        <f t="shared" si="6"/>
        <v>NACE C - 20.2 Manufacture of pesticides, disinfectants and other agrochemical products</v>
      </c>
      <c r="E214" s="326" t="s">
        <v>4501</v>
      </c>
      <c r="F214" t="s">
        <v>699</v>
      </c>
      <c r="G214" t="str">
        <f t="shared" si="7"/>
        <v>ST</v>
      </c>
      <c r="K214" t="s">
        <v>2882</v>
      </c>
    </row>
    <row r="215" spans="1:11" x14ac:dyDescent="0.35">
      <c r="A215" s="329" t="s">
        <v>700</v>
      </c>
      <c r="B215" t="s">
        <v>701</v>
      </c>
      <c r="C215" s="328" t="s">
        <v>3673</v>
      </c>
      <c r="D215" s="329" t="str">
        <f t="shared" si="6"/>
        <v>NACE C - 20.20 Manufacture of pesticides, disinfectants and other agrochemical products</v>
      </c>
      <c r="E215" s="326" t="s">
        <v>702</v>
      </c>
      <c r="F215" t="s">
        <v>703</v>
      </c>
      <c r="G215" t="str">
        <f t="shared" si="7"/>
        <v>SV</v>
      </c>
      <c r="K215" t="s">
        <v>3018</v>
      </c>
    </row>
    <row r="216" spans="1:11" x14ac:dyDescent="0.35">
      <c r="A216" s="328" t="s">
        <v>704</v>
      </c>
      <c r="B216" t="s">
        <v>705</v>
      </c>
      <c r="C216" s="328" t="s">
        <v>3674</v>
      </c>
      <c r="D216" s="328" t="str">
        <f t="shared" si="6"/>
        <v>NACE C - 20.3 Manufacture of paints, varnishes and similar coatings, printing ink and mastics</v>
      </c>
      <c r="E216" s="326" t="s">
        <v>4502</v>
      </c>
      <c r="F216" t="s">
        <v>706</v>
      </c>
      <c r="G216" t="str">
        <f t="shared" si="7"/>
        <v>SX</v>
      </c>
      <c r="K216" t="s">
        <v>3019</v>
      </c>
    </row>
    <row r="217" spans="1:11" x14ac:dyDescent="0.35">
      <c r="A217" s="329" t="s">
        <v>707</v>
      </c>
      <c r="B217" t="s">
        <v>708</v>
      </c>
      <c r="C217" s="328" t="s">
        <v>3675</v>
      </c>
      <c r="D217" s="329" t="str">
        <f t="shared" si="6"/>
        <v>NACE C - 20.30 Manufacture of paints, varnishes and similar coatings, printing ink and mastics</v>
      </c>
      <c r="E217" s="326" t="s">
        <v>4503</v>
      </c>
      <c r="F217" t="s">
        <v>709</v>
      </c>
      <c r="G217" t="str">
        <f t="shared" si="7"/>
        <v>SY</v>
      </c>
      <c r="K217" t="s">
        <v>2588</v>
      </c>
    </row>
    <row r="218" spans="1:11" x14ac:dyDescent="0.35">
      <c r="A218" s="328" t="s">
        <v>710</v>
      </c>
      <c r="B218" t="s">
        <v>711</v>
      </c>
      <c r="C218" s="325" t="s">
        <v>3676</v>
      </c>
      <c r="D218" s="328" t="str">
        <f t="shared" si="6"/>
        <v>NACE C - 20.4 Manufacture of washing, cleaning and polishing preparations</v>
      </c>
      <c r="E218" s="326" t="s">
        <v>712</v>
      </c>
      <c r="F218" t="s">
        <v>713</v>
      </c>
      <c r="G218" t="str">
        <f t="shared" si="7"/>
        <v>SZ</v>
      </c>
      <c r="K218" t="s">
        <v>3020</v>
      </c>
    </row>
    <row r="219" spans="1:11" x14ac:dyDescent="0.35">
      <c r="A219" s="329" t="s">
        <v>714</v>
      </c>
      <c r="B219" t="s">
        <v>715</v>
      </c>
      <c r="C219" s="328" t="s">
        <v>3677</v>
      </c>
      <c r="D219" s="329" t="str">
        <f t="shared" si="6"/>
        <v>NACE C - 20.41 Manufacture of soap and detergents, cleaning and polishing preparations</v>
      </c>
      <c r="E219" s="326" t="s">
        <v>4504</v>
      </c>
      <c r="F219" t="s">
        <v>716</v>
      </c>
      <c r="G219" t="str">
        <f t="shared" si="7"/>
        <v>TC</v>
      </c>
      <c r="K219" t="s">
        <v>2589</v>
      </c>
    </row>
    <row r="220" spans="1:11" x14ac:dyDescent="0.35">
      <c r="A220" s="329" t="s">
        <v>717</v>
      </c>
      <c r="B220" t="s">
        <v>718</v>
      </c>
      <c r="C220" s="328" t="s">
        <v>3678</v>
      </c>
      <c r="D220" s="329" t="str">
        <f t="shared" si="6"/>
        <v>NACE C - 20.42 Manufacture of perfume and toilet preparations</v>
      </c>
      <c r="E220" s="326" t="s">
        <v>4505</v>
      </c>
      <c r="F220" t="s">
        <v>719</v>
      </c>
      <c r="G220" t="str">
        <f t="shared" si="7"/>
        <v>TD</v>
      </c>
      <c r="K220" t="s">
        <v>2445</v>
      </c>
    </row>
    <row r="221" spans="1:11" x14ac:dyDescent="0.35">
      <c r="A221" s="328" t="s">
        <v>720</v>
      </c>
      <c r="B221" t="s">
        <v>721</v>
      </c>
      <c r="C221" s="325" t="s">
        <v>3679</v>
      </c>
      <c r="D221" s="328" t="str">
        <f t="shared" si="6"/>
        <v>NACE C - 20.5 Manufacture of other chemical products</v>
      </c>
      <c r="E221" s="326" t="s">
        <v>4507</v>
      </c>
      <c r="F221" t="s">
        <v>722</v>
      </c>
      <c r="G221" t="str">
        <f t="shared" si="7"/>
        <v>TF</v>
      </c>
      <c r="K221" t="s">
        <v>2883</v>
      </c>
    </row>
    <row r="222" spans="1:11" x14ac:dyDescent="0.35">
      <c r="A222" s="329" t="s">
        <v>723</v>
      </c>
      <c r="B222" t="s">
        <v>724</v>
      </c>
      <c r="C222" s="328" t="s">
        <v>3680</v>
      </c>
      <c r="D222" s="329" t="str">
        <f t="shared" si="6"/>
        <v>NACE C - 20.51 Manufacture of liquid biofuels</v>
      </c>
      <c r="E222" s="326" t="s">
        <v>725</v>
      </c>
      <c r="F222" t="s">
        <v>726</v>
      </c>
      <c r="G222" t="str">
        <f t="shared" si="7"/>
        <v>TG</v>
      </c>
      <c r="K222" t="s">
        <v>3021</v>
      </c>
    </row>
    <row r="223" spans="1:11" x14ac:dyDescent="0.35">
      <c r="A223" s="329" t="s">
        <v>727</v>
      </c>
      <c r="B223" t="s">
        <v>728</v>
      </c>
      <c r="C223" s="328" t="s">
        <v>3681</v>
      </c>
      <c r="D223" s="329" t="str">
        <f t="shared" si="6"/>
        <v>NACE C - 20.59 Manufacture of other chemical products n.e.c.</v>
      </c>
      <c r="E223" s="326" t="s">
        <v>4506</v>
      </c>
      <c r="F223" t="s">
        <v>729</v>
      </c>
      <c r="G223" t="str">
        <f t="shared" si="7"/>
        <v>TH</v>
      </c>
      <c r="K223" t="s">
        <v>3022</v>
      </c>
    </row>
    <row r="224" spans="1:11" x14ac:dyDescent="0.35">
      <c r="A224" s="328" t="s">
        <v>730</v>
      </c>
      <c r="B224" t="s">
        <v>731</v>
      </c>
      <c r="C224" s="328" t="s">
        <v>3682</v>
      </c>
      <c r="D224" s="328" t="str">
        <f t="shared" si="6"/>
        <v>NACE C - 20.6 Manufacture of man-made fibres</v>
      </c>
      <c r="E224" s="326" t="s">
        <v>4508</v>
      </c>
      <c r="F224" t="s">
        <v>732</v>
      </c>
      <c r="G224" t="str">
        <f t="shared" si="7"/>
        <v>TJ</v>
      </c>
      <c r="K224" t="s">
        <v>3023</v>
      </c>
    </row>
    <row r="225" spans="1:11" x14ac:dyDescent="0.35">
      <c r="A225" s="329" t="s">
        <v>733</v>
      </c>
      <c r="B225" t="s">
        <v>734</v>
      </c>
      <c r="C225" s="325" t="s">
        <v>3683</v>
      </c>
      <c r="D225" s="329" t="str">
        <f t="shared" si="6"/>
        <v>NACE C - 20.60 Manufacture of man-made fibres</v>
      </c>
      <c r="E225" s="326" t="s">
        <v>735</v>
      </c>
      <c r="F225" t="s">
        <v>736</v>
      </c>
      <c r="G225" t="str">
        <f t="shared" si="7"/>
        <v>TK</v>
      </c>
      <c r="K225" t="s">
        <v>3024</v>
      </c>
    </row>
    <row r="226" spans="1:11" x14ac:dyDescent="0.35">
      <c r="A226" s="325" t="s">
        <v>737</v>
      </c>
      <c r="B226" t="s">
        <v>738</v>
      </c>
      <c r="C226" s="328" t="s">
        <v>3684</v>
      </c>
      <c r="D226" s="325" t="str">
        <f t="shared" si="6"/>
        <v>NACE C - 21 Manufacture of basic pharmaceutical products and pharmaceutical preparations</v>
      </c>
      <c r="E226" s="326" t="s">
        <v>4850</v>
      </c>
      <c r="F226" t="s">
        <v>739</v>
      </c>
      <c r="G226" t="str">
        <f t="shared" si="7"/>
        <v>TL</v>
      </c>
      <c r="K226" t="s">
        <v>3025</v>
      </c>
    </row>
    <row r="227" spans="1:11" x14ac:dyDescent="0.35">
      <c r="A227" s="328" t="s">
        <v>740</v>
      </c>
      <c r="B227" t="s">
        <v>741</v>
      </c>
      <c r="C227" s="328" t="s">
        <v>3685</v>
      </c>
      <c r="D227" s="328" t="str">
        <f t="shared" si="6"/>
        <v>NACE C - 21.1 Manufacture of basic pharmaceutical products</v>
      </c>
      <c r="E227" s="326" t="s">
        <v>4509</v>
      </c>
      <c r="F227" t="s">
        <v>742</v>
      </c>
      <c r="G227" t="str">
        <f t="shared" si="7"/>
        <v>TM</v>
      </c>
      <c r="K227" t="s">
        <v>3026</v>
      </c>
    </row>
    <row r="228" spans="1:11" x14ac:dyDescent="0.35">
      <c r="A228" s="329" t="s">
        <v>743</v>
      </c>
      <c r="B228" t="s">
        <v>744</v>
      </c>
      <c r="C228" s="328" t="s">
        <v>3686</v>
      </c>
      <c r="D228" s="329" t="str">
        <f t="shared" si="6"/>
        <v>NACE C - 21.10 Manufacture of basic pharmaceutical products</v>
      </c>
      <c r="E228" s="326" t="s">
        <v>4510</v>
      </c>
      <c r="F228" t="s">
        <v>745</v>
      </c>
      <c r="G228" t="str">
        <f t="shared" si="7"/>
        <v>TN</v>
      </c>
      <c r="K228" t="s">
        <v>3027</v>
      </c>
    </row>
    <row r="229" spans="1:11" x14ac:dyDescent="0.35">
      <c r="A229" s="328" t="s">
        <v>746</v>
      </c>
      <c r="B229" t="s">
        <v>747</v>
      </c>
      <c r="C229" s="326" t="s">
        <v>3664</v>
      </c>
      <c r="D229" s="328" t="str">
        <f t="shared" si="6"/>
        <v>NACE C - 21.2 Manufacture of pharmaceutical preparations</v>
      </c>
      <c r="E229" s="326" t="s">
        <v>748</v>
      </c>
      <c r="F229" t="s">
        <v>749</v>
      </c>
      <c r="G229" t="str">
        <f t="shared" si="7"/>
        <v>TO</v>
      </c>
      <c r="K229" t="s">
        <v>3028</v>
      </c>
    </row>
    <row r="230" spans="1:11" x14ac:dyDescent="0.35">
      <c r="A230" s="329" t="s">
        <v>750</v>
      </c>
      <c r="B230" t="s">
        <v>751</v>
      </c>
      <c r="C230" s="325" t="s">
        <v>3688</v>
      </c>
      <c r="D230" s="329" t="str">
        <f t="shared" si="6"/>
        <v>NACE C - 21.20 Manufacture of pharmaceutical preparations</v>
      </c>
      <c r="E230" s="326" t="s">
        <v>4533</v>
      </c>
      <c r="F230" t="s">
        <v>752</v>
      </c>
      <c r="G230" t="str">
        <f t="shared" si="7"/>
        <v>TP</v>
      </c>
      <c r="K230" t="s">
        <v>2590</v>
      </c>
    </row>
    <row r="231" spans="1:11" x14ac:dyDescent="0.35">
      <c r="A231" s="325" t="s">
        <v>753</v>
      </c>
      <c r="B231" t="s">
        <v>754</v>
      </c>
      <c r="C231" s="328" t="s">
        <v>3689</v>
      </c>
      <c r="D231" s="325" t="str">
        <f t="shared" si="6"/>
        <v>NACE C - 22 Manufacture of rubber and plastic products</v>
      </c>
      <c r="E231" s="326" t="s">
        <v>4511</v>
      </c>
      <c r="F231" t="s">
        <v>755</v>
      </c>
      <c r="G231" t="str">
        <f t="shared" si="7"/>
        <v>TR</v>
      </c>
      <c r="K231" t="s">
        <v>2591</v>
      </c>
    </row>
    <row r="232" spans="1:11" x14ac:dyDescent="0.35">
      <c r="A232" s="328" t="s">
        <v>756</v>
      </c>
      <c r="B232" t="s">
        <v>757</v>
      </c>
      <c r="C232" s="328" t="s">
        <v>3690</v>
      </c>
      <c r="D232" s="328" t="str">
        <f t="shared" si="6"/>
        <v>NACE C - 22.1 Manufacture of rubber products</v>
      </c>
      <c r="E232" s="326" t="s">
        <v>4512</v>
      </c>
      <c r="F232" t="s">
        <v>758</v>
      </c>
      <c r="G232" t="str">
        <f t="shared" si="7"/>
        <v>TT</v>
      </c>
      <c r="K232" t="s">
        <v>2884</v>
      </c>
    </row>
    <row r="233" spans="1:11" x14ac:dyDescent="0.35">
      <c r="A233" s="329" t="s">
        <v>759</v>
      </c>
      <c r="B233" t="s">
        <v>760</v>
      </c>
      <c r="C233" s="328" t="s">
        <v>3691</v>
      </c>
      <c r="D233" s="329" t="str">
        <f t="shared" si="6"/>
        <v>NACE C - 22.11 Manufacture, retreading and rebuilding of rubber tyres and manufacture of tubes</v>
      </c>
      <c r="E233" s="326" t="s">
        <v>761</v>
      </c>
      <c r="F233" t="s">
        <v>762</v>
      </c>
      <c r="G233" t="str">
        <f t="shared" si="7"/>
        <v>TV</v>
      </c>
      <c r="K233" t="s">
        <v>3029</v>
      </c>
    </row>
    <row r="234" spans="1:11" x14ac:dyDescent="0.35">
      <c r="A234" s="329" t="s">
        <v>763</v>
      </c>
      <c r="B234" t="s">
        <v>764</v>
      </c>
      <c r="C234" s="328" t="s">
        <v>3692</v>
      </c>
      <c r="D234" s="329" t="str">
        <f t="shared" si="6"/>
        <v>NACE C - 22.12 Manufacture of other rubber products</v>
      </c>
      <c r="E234" s="326" t="s">
        <v>4513</v>
      </c>
      <c r="F234" t="s">
        <v>765</v>
      </c>
      <c r="G234" t="str">
        <f t="shared" si="7"/>
        <v>TW</v>
      </c>
      <c r="K234" t="s">
        <v>3030</v>
      </c>
    </row>
    <row r="235" spans="1:11" x14ac:dyDescent="0.35">
      <c r="A235" s="328" t="s">
        <v>766</v>
      </c>
      <c r="B235" t="s">
        <v>767</v>
      </c>
      <c r="C235" s="328" t="s">
        <v>3693</v>
      </c>
      <c r="D235" s="328" t="str">
        <f t="shared" si="6"/>
        <v>NACE C - 22.2 Manufacture of plastic products</v>
      </c>
      <c r="E235" s="326" t="s">
        <v>4851</v>
      </c>
      <c r="F235" t="s">
        <v>768</v>
      </c>
      <c r="G235" t="str">
        <f t="shared" si="7"/>
        <v>TZ</v>
      </c>
      <c r="K235" t="s">
        <v>3031</v>
      </c>
    </row>
    <row r="236" spans="1:11" x14ac:dyDescent="0.35">
      <c r="A236" s="329" t="s">
        <v>769</v>
      </c>
      <c r="B236" t="s">
        <v>770</v>
      </c>
      <c r="C236" s="325" t="s">
        <v>3694</v>
      </c>
      <c r="D236" s="329" t="str">
        <f t="shared" si="6"/>
        <v>NACE C - 22.21 Manufacture of plastic plates, sheets, tubes and profiles</v>
      </c>
      <c r="E236" s="326" t="s">
        <v>771</v>
      </c>
      <c r="F236" t="s">
        <v>772</v>
      </c>
      <c r="G236" t="str">
        <f t="shared" si="7"/>
        <v>UA</v>
      </c>
      <c r="K236" t="s">
        <v>3032</v>
      </c>
    </row>
    <row r="237" spans="1:11" x14ac:dyDescent="0.35">
      <c r="A237" s="329" t="s">
        <v>773</v>
      </c>
      <c r="B237" t="s">
        <v>774</v>
      </c>
      <c r="C237" s="328" t="s">
        <v>3695</v>
      </c>
      <c r="D237" s="329" t="str">
        <f t="shared" si="6"/>
        <v>NACE C - 22.22 Manufacture of plastic packing goods</v>
      </c>
      <c r="E237" s="326" t="s">
        <v>4514</v>
      </c>
      <c r="F237" t="s">
        <v>775</v>
      </c>
      <c r="G237" t="str">
        <f t="shared" si="7"/>
        <v>UG</v>
      </c>
      <c r="K237" t="s">
        <v>3033</v>
      </c>
    </row>
    <row r="238" spans="1:11" x14ac:dyDescent="0.35">
      <c r="A238" s="329" t="s">
        <v>776</v>
      </c>
      <c r="B238" t="s">
        <v>777</v>
      </c>
      <c r="C238" s="328" t="s">
        <v>3696</v>
      </c>
      <c r="D238" s="329" t="str">
        <f t="shared" si="6"/>
        <v>NACE C - 22.23 Manufacture of doors and windows of plastic</v>
      </c>
      <c r="E238" s="326" t="s">
        <v>4515</v>
      </c>
      <c r="F238" t="s">
        <v>778</v>
      </c>
      <c r="G238" t="str">
        <f t="shared" si="7"/>
        <v>UM</v>
      </c>
      <c r="K238" t="s">
        <v>3034</v>
      </c>
    </row>
    <row r="239" spans="1:11" x14ac:dyDescent="0.35">
      <c r="A239" s="329" t="s">
        <v>779</v>
      </c>
      <c r="B239" t="s">
        <v>780</v>
      </c>
      <c r="C239" s="329" t="s">
        <v>3697</v>
      </c>
      <c r="D239" s="329" t="str">
        <f t="shared" si="6"/>
        <v>NACE C - 22.24 Manufacture of builders’ ware of plastic</v>
      </c>
      <c r="E239" s="326" t="s">
        <v>4516</v>
      </c>
      <c r="F239" t="s">
        <v>781</v>
      </c>
      <c r="G239" t="str">
        <f t="shared" si="7"/>
        <v>US</v>
      </c>
      <c r="K239" t="s">
        <v>3035</v>
      </c>
    </row>
    <row r="240" spans="1:11" x14ac:dyDescent="0.35">
      <c r="A240" s="329" t="s">
        <v>782</v>
      </c>
      <c r="B240" t="s">
        <v>783</v>
      </c>
      <c r="C240" s="328" t="s">
        <v>3698</v>
      </c>
      <c r="D240" s="329" t="str">
        <f t="shared" si="6"/>
        <v>NACE C - 22.25 Processing and finishing of plastic products</v>
      </c>
      <c r="E240" s="326" t="s">
        <v>784</v>
      </c>
      <c r="F240" t="s">
        <v>785</v>
      </c>
      <c r="G240" t="str">
        <f t="shared" si="7"/>
        <v>UY</v>
      </c>
      <c r="K240" t="s">
        <v>3036</v>
      </c>
    </row>
    <row r="241" spans="1:11" x14ac:dyDescent="0.35">
      <c r="A241" s="329" t="s">
        <v>786</v>
      </c>
      <c r="B241" t="s">
        <v>787</v>
      </c>
      <c r="C241" s="328" t="s">
        <v>3699</v>
      </c>
      <c r="D241" s="329" t="str">
        <f t="shared" si="6"/>
        <v>NACE C - 22.26 Manufacture of other plastic products</v>
      </c>
      <c r="E241" s="326" t="s">
        <v>4517</v>
      </c>
      <c r="F241" t="s">
        <v>788</v>
      </c>
      <c r="G241" t="str">
        <f t="shared" si="7"/>
        <v>UZ</v>
      </c>
      <c r="K241" t="s">
        <v>2592</v>
      </c>
    </row>
    <row r="242" spans="1:11" x14ac:dyDescent="0.35">
      <c r="A242" s="325" t="s">
        <v>789</v>
      </c>
      <c r="B242" t="s">
        <v>790</v>
      </c>
      <c r="C242" s="326" t="s">
        <v>3687</v>
      </c>
      <c r="D242" s="325" t="str">
        <f t="shared" si="6"/>
        <v>NACE C - 23 Manufacture of other non-metallic mineral products</v>
      </c>
      <c r="E242" s="326" t="s">
        <v>4518</v>
      </c>
      <c r="F242" t="s">
        <v>791</v>
      </c>
      <c r="G242" t="str">
        <f t="shared" si="7"/>
        <v>VA</v>
      </c>
      <c r="K242" t="s">
        <v>2593</v>
      </c>
    </row>
    <row r="243" spans="1:11" x14ac:dyDescent="0.35">
      <c r="A243" s="328" t="s">
        <v>792</v>
      </c>
      <c r="B243" t="s">
        <v>793</v>
      </c>
      <c r="C243" s="325" t="s">
        <v>3701</v>
      </c>
      <c r="D243" s="328" t="str">
        <f t="shared" si="6"/>
        <v>NACE C - 23.1 Manufacture of glass and glass products</v>
      </c>
      <c r="E243" s="326" t="s">
        <v>4519</v>
      </c>
      <c r="F243" t="s">
        <v>794</v>
      </c>
      <c r="G243" t="str">
        <f t="shared" si="7"/>
        <v>VC</v>
      </c>
      <c r="K243" t="s">
        <v>2594</v>
      </c>
    </row>
    <row r="244" spans="1:11" x14ac:dyDescent="0.35">
      <c r="A244" s="329" t="s">
        <v>795</v>
      </c>
      <c r="B244" t="s">
        <v>796</v>
      </c>
      <c r="C244" s="328" t="s">
        <v>3702</v>
      </c>
      <c r="D244" s="329" t="str">
        <f t="shared" si="6"/>
        <v>NACE C - 23.11 Manufacture of flat glass</v>
      </c>
      <c r="E244" s="326" t="s">
        <v>4520</v>
      </c>
      <c r="F244" t="s">
        <v>797</v>
      </c>
      <c r="G244" t="str">
        <f t="shared" si="7"/>
        <v>VE</v>
      </c>
      <c r="K244" t="s">
        <v>2885</v>
      </c>
    </row>
    <row r="245" spans="1:11" x14ac:dyDescent="0.35">
      <c r="A245" s="329" t="s">
        <v>798</v>
      </c>
      <c r="B245" t="s">
        <v>799</v>
      </c>
      <c r="C245" s="328" t="s">
        <v>3703</v>
      </c>
      <c r="D245" s="329" t="str">
        <f t="shared" si="6"/>
        <v>NACE C - 23.12 Shaping and processing of flat glass</v>
      </c>
      <c r="E245" s="326" t="s">
        <v>4521</v>
      </c>
      <c r="F245" t="s">
        <v>800</v>
      </c>
      <c r="G245" t="str">
        <f t="shared" si="7"/>
        <v>VG</v>
      </c>
      <c r="K245" t="s">
        <v>3037</v>
      </c>
    </row>
    <row r="246" spans="1:11" x14ac:dyDescent="0.35">
      <c r="A246" s="329" t="s">
        <v>801</v>
      </c>
      <c r="B246" t="s">
        <v>802</v>
      </c>
      <c r="C246" s="325" t="s">
        <v>3704</v>
      </c>
      <c r="D246" s="329" t="str">
        <f t="shared" si="6"/>
        <v>NACE C - 23.13 Manufacture of hollow glass</v>
      </c>
      <c r="E246" s="326" t="s">
        <v>4522</v>
      </c>
      <c r="F246" t="s">
        <v>803</v>
      </c>
      <c r="G246" t="str">
        <f t="shared" si="7"/>
        <v>VI</v>
      </c>
      <c r="K246" t="s">
        <v>3038</v>
      </c>
    </row>
    <row r="247" spans="1:11" x14ac:dyDescent="0.35">
      <c r="A247" s="329" t="s">
        <v>804</v>
      </c>
      <c r="B247" t="s">
        <v>805</v>
      </c>
      <c r="C247" s="328" t="s">
        <v>3705</v>
      </c>
      <c r="D247" s="329" t="str">
        <f t="shared" si="6"/>
        <v>NACE C - 23.14 Manufacture of glass fibres</v>
      </c>
      <c r="E247" s="326" t="s">
        <v>4523</v>
      </c>
      <c r="F247" t="s">
        <v>806</v>
      </c>
      <c r="G247" t="str">
        <f t="shared" si="7"/>
        <v>VN</v>
      </c>
      <c r="K247" t="s">
        <v>3039</v>
      </c>
    </row>
    <row r="248" spans="1:11" x14ac:dyDescent="0.35">
      <c r="A248" s="329" t="s">
        <v>807</v>
      </c>
      <c r="B248" t="s">
        <v>808</v>
      </c>
      <c r="C248" s="328" t="s">
        <v>3706</v>
      </c>
      <c r="D248" s="329" t="str">
        <f t="shared" si="6"/>
        <v>NACE C - 23.15 Manufacture and processing of other glass, including technical glassware</v>
      </c>
      <c r="E248" s="326" t="s">
        <v>809</v>
      </c>
      <c r="F248" t="s">
        <v>810</v>
      </c>
      <c r="G248" t="str">
        <f t="shared" si="7"/>
        <v>VU</v>
      </c>
      <c r="K248" t="s">
        <v>3040</v>
      </c>
    </row>
    <row r="249" spans="1:11" x14ac:dyDescent="0.35">
      <c r="A249" s="328" t="s">
        <v>811</v>
      </c>
      <c r="B249" t="s">
        <v>812</v>
      </c>
      <c r="C249" s="325" t="s">
        <v>3707</v>
      </c>
      <c r="D249" s="328" t="str">
        <f t="shared" si="6"/>
        <v>NACE C - 23.2 Manufacture of refractory products</v>
      </c>
      <c r="E249" s="326" t="s">
        <v>4524</v>
      </c>
      <c r="F249" t="s">
        <v>813</v>
      </c>
      <c r="G249" t="str">
        <f t="shared" si="7"/>
        <v>WF</v>
      </c>
      <c r="K249" t="s">
        <v>3041</v>
      </c>
    </row>
    <row r="250" spans="1:11" x14ac:dyDescent="0.35">
      <c r="A250" s="329" t="s">
        <v>814</v>
      </c>
      <c r="B250" t="s">
        <v>815</v>
      </c>
      <c r="C250" s="328" t="s">
        <v>3708</v>
      </c>
      <c r="D250" s="329" t="str">
        <f t="shared" si="6"/>
        <v>NACE C - 23.20 Manufacture of refractory products</v>
      </c>
      <c r="E250" s="326" t="s">
        <v>816</v>
      </c>
      <c r="F250" t="s">
        <v>817</v>
      </c>
      <c r="G250" t="str">
        <f t="shared" si="7"/>
        <v>WS</v>
      </c>
      <c r="K250" t="s">
        <v>3042</v>
      </c>
    </row>
    <row r="251" spans="1:11" x14ac:dyDescent="0.35">
      <c r="A251" s="328" t="s">
        <v>818</v>
      </c>
      <c r="B251" t="s">
        <v>819</v>
      </c>
      <c r="C251" s="328" t="s">
        <v>3709</v>
      </c>
      <c r="D251" s="328" t="str">
        <f t="shared" si="6"/>
        <v>NACE C - 23.3 Manufacture of clay building materials</v>
      </c>
      <c r="E251" s="326" t="s">
        <v>820</v>
      </c>
      <c r="F251" t="s">
        <v>821</v>
      </c>
      <c r="G251" t="str">
        <f t="shared" si="7"/>
        <v>YE</v>
      </c>
      <c r="K251" t="s">
        <v>3043</v>
      </c>
    </row>
    <row r="252" spans="1:11" x14ac:dyDescent="0.35">
      <c r="A252" s="329" t="s">
        <v>822</v>
      </c>
      <c r="B252" t="s">
        <v>823</v>
      </c>
      <c r="C252" s="328" t="s">
        <v>3710</v>
      </c>
      <c r="D252" s="329" t="str">
        <f t="shared" si="6"/>
        <v>NACE C - 23.31 Manufacture of ceramic tiles and flags</v>
      </c>
      <c r="E252" s="326" t="s">
        <v>824</v>
      </c>
      <c r="F252" t="s">
        <v>825</v>
      </c>
      <c r="G252" t="str">
        <f t="shared" si="7"/>
        <v>YT</v>
      </c>
      <c r="K252" t="s">
        <v>3044</v>
      </c>
    </row>
    <row r="253" spans="1:11" x14ac:dyDescent="0.35">
      <c r="A253" s="329" t="s">
        <v>826</v>
      </c>
      <c r="B253" t="s">
        <v>827</v>
      </c>
      <c r="C253" s="326" t="s">
        <v>3700</v>
      </c>
      <c r="D253" s="329" t="str">
        <f t="shared" si="6"/>
        <v>NACE C - 23.32 Manufacture of bricks, tiles and construction products, in baked clay</v>
      </c>
      <c r="E253" s="326" t="s">
        <v>4525</v>
      </c>
      <c r="F253" t="s">
        <v>828</v>
      </c>
      <c r="G253" t="str">
        <f t="shared" si="7"/>
        <v>YU</v>
      </c>
      <c r="K253" t="s">
        <v>2595</v>
      </c>
    </row>
    <row r="254" spans="1:11" x14ac:dyDescent="0.35">
      <c r="A254" s="328" t="s">
        <v>829</v>
      </c>
      <c r="B254" t="s">
        <v>830</v>
      </c>
      <c r="C254" s="325" t="s">
        <v>3712</v>
      </c>
      <c r="D254" s="328" t="str">
        <f t="shared" si="6"/>
        <v>NACE C - 23.4 Manufacture of other porcelain and ceramic products</v>
      </c>
      <c r="E254" s="326" t="s">
        <v>4526</v>
      </c>
      <c r="F254" t="s">
        <v>831</v>
      </c>
      <c r="G254" t="str">
        <f t="shared" si="7"/>
        <v>ZA</v>
      </c>
      <c r="K254" t="s">
        <v>2596</v>
      </c>
    </row>
    <row r="255" spans="1:11" x14ac:dyDescent="0.35">
      <c r="A255" s="329" t="s">
        <v>832</v>
      </c>
      <c r="B255" t="s">
        <v>833</v>
      </c>
      <c r="C255" s="328" t="s">
        <v>3713</v>
      </c>
      <c r="D255" s="329" t="str">
        <f t="shared" si="6"/>
        <v>NACE C - 23.41 Manufacture of ceramic household and ornamental articles</v>
      </c>
      <c r="E255" s="326" t="s">
        <v>4527</v>
      </c>
      <c r="F255" t="s">
        <v>834</v>
      </c>
      <c r="G255" t="str">
        <f t="shared" si="7"/>
        <v>ZM</v>
      </c>
      <c r="K255" t="s">
        <v>2886</v>
      </c>
    </row>
    <row r="256" spans="1:11" x14ac:dyDescent="0.35">
      <c r="A256" s="329" t="s">
        <v>835</v>
      </c>
      <c r="B256" t="s">
        <v>836</v>
      </c>
      <c r="C256" s="328" t="s">
        <v>3714</v>
      </c>
      <c r="D256" s="329" t="str">
        <f t="shared" si="6"/>
        <v>NACE C - 23.42 Manufacture of ceramic sanitary fixtures</v>
      </c>
      <c r="E256" s="326" t="s">
        <v>4528</v>
      </c>
      <c r="F256" t="s">
        <v>837</v>
      </c>
      <c r="G256" t="str">
        <f t="shared" si="7"/>
        <v>ZR</v>
      </c>
      <c r="K256" t="s">
        <v>3045</v>
      </c>
    </row>
    <row r="257" spans="1:11" x14ac:dyDescent="0.35">
      <c r="A257" s="329" t="s">
        <v>838</v>
      </c>
      <c r="B257" t="s">
        <v>839</v>
      </c>
      <c r="C257" s="328" t="s">
        <v>3715</v>
      </c>
      <c r="D257" s="329" t="str">
        <f t="shared" si="6"/>
        <v>NACE C - 23.43 Manufacture of ceramic insulators and insulating fittings</v>
      </c>
      <c r="E257" s="326" t="s">
        <v>840</v>
      </c>
      <c r="F257" t="s">
        <v>841</v>
      </c>
      <c r="G257" t="str">
        <f t="shared" si="7"/>
        <v>ZW</v>
      </c>
      <c r="K257" t="s">
        <v>3046</v>
      </c>
    </row>
    <row r="258" spans="1:11" x14ac:dyDescent="0.35">
      <c r="A258" s="329" t="s">
        <v>842</v>
      </c>
      <c r="B258" t="s">
        <v>843</v>
      </c>
      <c r="C258" s="325" t="s">
        <v>3716</v>
      </c>
      <c r="D258" s="329" t="str">
        <f t="shared" ref="D258:D321" si="8">_xlfn.CONCAT("NACE ", A258)</f>
        <v>NACE C - 23.44 Manufacture of other technical ceramic products</v>
      </c>
      <c r="K258" t="s">
        <v>3047</v>
      </c>
    </row>
    <row r="259" spans="1:11" x14ac:dyDescent="0.35">
      <c r="A259" s="329" t="s">
        <v>844</v>
      </c>
      <c r="B259" t="s">
        <v>845</v>
      </c>
      <c r="C259" s="328" t="s">
        <v>3717</v>
      </c>
      <c r="D259" s="329" t="str">
        <f t="shared" si="8"/>
        <v>NACE C - 23.45 Manufacture of other ceramic products</v>
      </c>
      <c r="K259" t="s">
        <v>3048</v>
      </c>
    </row>
    <row r="260" spans="1:11" x14ac:dyDescent="0.35">
      <c r="A260" s="328" t="s">
        <v>846</v>
      </c>
      <c r="B260" t="s">
        <v>847</v>
      </c>
      <c r="C260" s="328" t="s">
        <v>3718</v>
      </c>
      <c r="D260" s="328" t="str">
        <f t="shared" si="8"/>
        <v>NACE C - 23.5 Manufacture of cement, lime and plaster</v>
      </c>
      <c r="K260" t="s">
        <v>3049</v>
      </c>
    </row>
    <row r="261" spans="1:11" x14ac:dyDescent="0.35">
      <c r="A261" s="329" t="s">
        <v>848</v>
      </c>
      <c r="B261" t="s">
        <v>849</v>
      </c>
      <c r="C261" s="328" t="s">
        <v>3719</v>
      </c>
      <c r="D261" s="329" t="str">
        <f t="shared" si="8"/>
        <v>NACE C - 23.51 Manufacture of cement</v>
      </c>
      <c r="K261" t="s">
        <v>3050</v>
      </c>
    </row>
    <row r="262" spans="1:11" x14ac:dyDescent="0.35">
      <c r="A262" s="329" t="s">
        <v>850</v>
      </c>
      <c r="B262" t="s">
        <v>851</v>
      </c>
      <c r="C262" s="325" t="s">
        <v>3720</v>
      </c>
      <c r="D262" s="329" t="str">
        <f t="shared" si="8"/>
        <v>NACE C - 23.52 Manufacture of lime and plaster</v>
      </c>
      <c r="K262" t="s">
        <v>3051</v>
      </c>
    </row>
    <row r="263" spans="1:11" x14ac:dyDescent="0.35">
      <c r="A263" s="328" t="s">
        <v>852</v>
      </c>
      <c r="B263" t="s">
        <v>853</v>
      </c>
      <c r="C263" s="328" t="s">
        <v>3721</v>
      </c>
      <c r="D263" s="328" t="str">
        <f t="shared" si="8"/>
        <v>NACE C - 23.6 Manufacture of articles of concrete, cement and plaster</v>
      </c>
      <c r="K263" t="s">
        <v>3052</v>
      </c>
    </row>
    <row r="264" spans="1:11" x14ac:dyDescent="0.35">
      <c r="A264" s="329" t="s">
        <v>854</v>
      </c>
      <c r="B264" t="s">
        <v>855</v>
      </c>
      <c r="C264" s="328" t="s">
        <v>3722</v>
      </c>
      <c r="D264" s="329" t="str">
        <f t="shared" si="8"/>
        <v>NACE C - 23.61 Manufacture of concrete products for construction purposes</v>
      </c>
      <c r="K264" t="s">
        <v>2597</v>
      </c>
    </row>
    <row r="265" spans="1:11" x14ac:dyDescent="0.35">
      <c r="A265" s="329" t="s">
        <v>856</v>
      </c>
      <c r="B265" t="s">
        <v>857</v>
      </c>
      <c r="C265" s="326" t="s">
        <v>3711</v>
      </c>
      <c r="D265" s="329" t="str">
        <f t="shared" si="8"/>
        <v>NACE C - 23.62 Manufacture of plaster products for construction purposes</v>
      </c>
      <c r="K265" t="s">
        <v>2598</v>
      </c>
    </row>
    <row r="266" spans="1:11" x14ac:dyDescent="0.35">
      <c r="A266" s="329" t="s">
        <v>858</v>
      </c>
      <c r="B266" t="s">
        <v>859</v>
      </c>
      <c r="C266" s="325" t="s">
        <v>3724</v>
      </c>
      <c r="D266" s="329" t="str">
        <f t="shared" si="8"/>
        <v>NACE C - 23.63 Manufacture of ready-mixed concrete</v>
      </c>
      <c r="K266" t="s">
        <v>2887</v>
      </c>
    </row>
    <row r="267" spans="1:11" x14ac:dyDescent="0.35">
      <c r="A267" s="329" t="s">
        <v>860</v>
      </c>
      <c r="B267" t="s">
        <v>861</v>
      </c>
      <c r="C267" s="328" t="s">
        <v>3725</v>
      </c>
      <c r="D267" s="329" t="str">
        <f t="shared" si="8"/>
        <v>NACE C - 23.64 Manufacture of mortars</v>
      </c>
      <c r="K267" t="s">
        <v>3053</v>
      </c>
    </row>
    <row r="268" spans="1:11" x14ac:dyDescent="0.35">
      <c r="A268" s="329" t="s">
        <v>862</v>
      </c>
      <c r="B268" t="s">
        <v>863</v>
      </c>
      <c r="C268" s="328" t="s">
        <v>3726</v>
      </c>
      <c r="D268" s="329" t="str">
        <f t="shared" si="8"/>
        <v>NACE C - 23.65 Manufacture of fibre cement</v>
      </c>
      <c r="K268" t="s">
        <v>3054</v>
      </c>
    </row>
    <row r="269" spans="1:11" x14ac:dyDescent="0.35">
      <c r="A269" s="329" t="s">
        <v>864</v>
      </c>
      <c r="B269" t="s">
        <v>865</v>
      </c>
      <c r="C269" s="328" t="s">
        <v>3727</v>
      </c>
      <c r="D269" s="329" t="str">
        <f t="shared" si="8"/>
        <v>NACE C - 23.66 Manufacture of other articles of concrete, cement and plaster</v>
      </c>
      <c r="K269" t="s">
        <v>3055</v>
      </c>
    </row>
    <row r="270" spans="1:11" x14ac:dyDescent="0.35">
      <c r="A270" s="328" t="s">
        <v>866</v>
      </c>
      <c r="B270" t="s">
        <v>867</v>
      </c>
      <c r="C270" s="328" t="s">
        <v>3728</v>
      </c>
      <c r="D270" s="328" t="str">
        <f t="shared" si="8"/>
        <v>NACE C - 23.7 Cutting, shaping and finishing of stone</v>
      </c>
      <c r="K270" t="s">
        <v>3056</v>
      </c>
    </row>
    <row r="271" spans="1:11" x14ac:dyDescent="0.35">
      <c r="A271" s="329" t="s">
        <v>868</v>
      </c>
      <c r="B271" t="s">
        <v>869</v>
      </c>
      <c r="C271" s="325" t="s">
        <v>3729</v>
      </c>
      <c r="D271" s="329" t="str">
        <f t="shared" si="8"/>
        <v>NACE C - 23.70 Cutting, shaping and finishing of stone</v>
      </c>
      <c r="K271" t="s">
        <v>3057</v>
      </c>
    </row>
    <row r="272" spans="1:11" x14ac:dyDescent="0.35">
      <c r="A272" s="328" t="s">
        <v>870</v>
      </c>
      <c r="B272" t="s">
        <v>871</v>
      </c>
      <c r="C272" s="328" t="s">
        <v>3730</v>
      </c>
      <c r="D272" s="328" t="str">
        <f t="shared" si="8"/>
        <v>NACE C - 23.9 Manufacture of abrasive products and non-metallic mineral products n.e.c.</v>
      </c>
      <c r="K272" t="s">
        <v>3058</v>
      </c>
    </row>
    <row r="273" spans="1:11" x14ac:dyDescent="0.35">
      <c r="A273" s="329" t="s">
        <v>872</v>
      </c>
      <c r="B273" t="s">
        <v>873</v>
      </c>
      <c r="C273" s="328" t="s">
        <v>3731</v>
      </c>
      <c r="D273" s="329" t="str">
        <f t="shared" si="8"/>
        <v>NACE C - 23.91 Manufacture of abrasive products</v>
      </c>
      <c r="K273" t="s">
        <v>3059</v>
      </c>
    </row>
    <row r="274" spans="1:11" x14ac:dyDescent="0.35">
      <c r="A274" s="329" t="s">
        <v>874</v>
      </c>
      <c r="B274" t="s">
        <v>875</v>
      </c>
      <c r="C274" s="328" t="s">
        <v>3732</v>
      </c>
      <c r="D274" s="329" t="str">
        <f t="shared" si="8"/>
        <v>NACE C - 23.99 Manufacture of other non-metallic mineral products n.e.c.</v>
      </c>
      <c r="K274" t="s">
        <v>3060</v>
      </c>
    </row>
    <row r="275" spans="1:11" x14ac:dyDescent="0.35">
      <c r="A275" s="325" t="s">
        <v>876</v>
      </c>
      <c r="B275" t="s">
        <v>877</v>
      </c>
      <c r="C275" s="325" t="s">
        <v>3733</v>
      </c>
      <c r="D275" s="325" t="str">
        <f t="shared" si="8"/>
        <v>NACE C - 24 Manufacture of basic metals</v>
      </c>
      <c r="K275" t="s">
        <v>2599</v>
      </c>
    </row>
    <row r="276" spans="1:11" x14ac:dyDescent="0.35">
      <c r="A276" s="328" t="s">
        <v>878</v>
      </c>
      <c r="B276" t="s">
        <v>879</v>
      </c>
      <c r="C276" s="328" t="s">
        <v>3734</v>
      </c>
      <c r="D276" s="328" t="str">
        <f t="shared" si="8"/>
        <v>NACE C - 24.1 Manufacture of basic iron and steel and of ferro-alloys</v>
      </c>
      <c r="K276" t="s">
        <v>2600</v>
      </c>
    </row>
    <row r="277" spans="1:11" x14ac:dyDescent="0.35">
      <c r="A277" s="329" t="s">
        <v>880</v>
      </c>
      <c r="B277" t="s">
        <v>881</v>
      </c>
      <c r="C277" s="328" t="s">
        <v>3735</v>
      </c>
      <c r="D277" s="329" t="str">
        <f t="shared" si="8"/>
        <v>NACE C - 24.10 Manufacture of basic iron and steel and of ferro-alloys</v>
      </c>
      <c r="K277" t="s">
        <v>2888</v>
      </c>
    </row>
    <row r="278" spans="1:11" x14ac:dyDescent="0.35">
      <c r="A278" s="328" t="s">
        <v>882</v>
      </c>
      <c r="B278" t="s">
        <v>883</v>
      </c>
      <c r="C278" s="328" t="s">
        <v>3736</v>
      </c>
      <c r="D278" s="328" t="str">
        <f t="shared" si="8"/>
        <v>NACE C - 24.2 Manufacture of tubes, pipes, hollow profiles and related fittings, of steel</v>
      </c>
      <c r="K278" t="s">
        <v>3061</v>
      </c>
    </row>
    <row r="279" spans="1:11" x14ac:dyDescent="0.35">
      <c r="A279" s="329" t="s">
        <v>884</v>
      </c>
      <c r="B279" t="s">
        <v>885</v>
      </c>
      <c r="C279" s="326" t="s">
        <v>3723</v>
      </c>
      <c r="D279" s="329" t="str">
        <f t="shared" si="8"/>
        <v>NACE C - 24.20 Manufacture of tubes, pipes, hollow profiles and related fittings, of steel</v>
      </c>
      <c r="K279" t="s">
        <v>3062</v>
      </c>
    </row>
    <row r="280" spans="1:11" x14ac:dyDescent="0.35">
      <c r="A280" s="328" t="s">
        <v>886</v>
      </c>
      <c r="B280" t="s">
        <v>887</v>
      </c>
      <c r="C280" s="325" t="s">
        <v>3738</v>
      </c>
      <c r="D280" s="328" t="str">
        <f t="shared" si="8"/>
        <v>NACE C - 24.3 Manufacture of other products of first processing of steel</v>
      </c>
      <c r="K280" t="s">
        <v>3063</v>
      </c>
    </row>
    <row r="281" spans="1:11" x14ac:dyDescent="0.35">
      <c r="A281" s="329" t="s">
        <v>888</v>
      </c>
      <c r="B281" t="s">
        <v>889</v>
      </c>
      <c r="C281" s="328" t="s">
        <v>3739</v>
      </c>
      <c r="D281" s="329" t="str">
        <f t="shared" si="8"/>
        <v>NACE C - 24.31 Cold drawing of bars</v>
      </c>
      <c r="K281" t="s">
        <v>3064</v>
      </c>
    </row>
    <row r="282" spans="1:11" x14ac:dyDescent="0.35">
      <c r="A282" s="329" t="s">
        <v>890</v>
      </c>
      <c r="B282" t="s">
        <v>891</v>
      </c>
      <c r="C282" s="328" t="s">
        <v>3740</v>
      </c>
      <c r="D282" s="329" t="str">
        <f t="shared" si="8"/>
        <v>NACE C - 24.32 Cold rolling of narrow strip</v>
      </c>
      <c r="K282" t="s">
        <v>3065</v>
      </c>
    </row>
    <row r="283" spans="1:11" x14ac:dyDescent="0.35">
      <c r="A283" s="329" t="s">
        <v>892</v>
      </c>
      <c r="B283" t="s">
        <v>893</v>
      </c>
      <c r="C283" s="328" t="s">
        <v>3741</v>
      </c>
      <c r="D283" s="329" t="str">
        <f t="shared" si="8"/>
        <v>NACE C - 24.33 Cold forming or folding</v>
      </c>
      <c r="K283" t="s">
        <v>3066</v>
      </c>
    </row>
    <row r="284" spans="1:11" x14ac:dyDescent="0.35">
      <c r="A284" s="329" t="s">
        <v>894</v>
      </c>
      <c r="B284" t="s">
        <v>895</v>
      </c>
      <c r="C284" s="326" t="s">
        <v>3737</v>
      </c>
      <c r="D284" s="329" t="str">
        <f t="shared" si="8"/>
        <v>NACE C - 24.34 Cold drawing of wire</v>
      </c>
      <c r="K284" t="s">
        <v>3067</v>
      </c>
    </row>
    <row r="285" spans="1:11" x14ac:dyDescent="0.35">
      <c r="A285" s="328" t="s">
        <v>896</v>
      </c>
      <c r="B285" t="s">
        <v>897</v>
      </c>
      <c r="C285" s="325" t="s">
        <v>3743</v>
      </c>
      <c r="D285" s="328" t="str">
        <f t="shared" si="8"/>
        <v>NACE C - 24.4 Manufacture of basic precious and other non-ferrous metals</v>
      </c>
      <c r="K285" t="s">
        <v>3068</v>
      </c>
    </row>
    <row r="286" spans="1:11" x14ac:dyDescent="0.35">
      <c r="A286" s="329" t="s">
        <v>898</v>
      </c>
      <c r="B286" t="s">
        <v>899</v>
      </c>
      <c r="C286" s="328" t="s">
        <v>3744</v>
      </c>
      <c r="D286" s="329" t="str">
        <f t="shared" si="8"/>
        <v>NACE C - 24.41 Precious metals production</v>
      </c>
      <c r="K286" t="s">
        <v>2601</v>
      </c>
    </row>
    <row r="287" spans="1:11" x14ac:dyDescent="0.35">
      <c r="A287" s="329" t="s">
        <v>900</v>
      </c>
      <c r="B287" t="s">
        <v>901</v>
      </c>
      <c r="C287" s="328" t="s">
        <v>3745</v>
      </c>
      <c r="D287" s="329" t="str">
        <f t="shared" si="8"/>
        <v>NACE C - 24.42 Aluminium production</v>
      </c>
      <c r="K287" t="s">
        <v>2602</v>
      </c>
    </row>
    <row r="288" spans="1:11" x14ac:dyDescent="0.35">
      <c r="A288" s="329" t="s">
        <v>902</v>
      </c>
      <c r="B288" t="s">
        <v>903</v>
      </c>
      <c r="C288" s="325" t="s">
        <v>3746</v>
      </c>
      <c r="D288" s="329" t="str">
        <f t="shared" si="8"/>
        <v>NACE C - 24.43 Lead, zinc and tin production</v>
      </c>
      <c r="K288" t="s">
        <v>2889</v>
      </c>
    </row>
    <row r="289" spans="1:11" x14ac:dyDescent="0.35">
      <c r="A289" s="329" t="s">
        <v>904</v>
      </c>
      <c r="B289" t="s">
        <v>905</v>
      </c>
      <c r="C289" s="328" t="s">
        <v>3747</v>
      </c>
      <c r="D289" s="329" t="str">
        <f t="shared" si="8"/>
        <v>NACE C - 24.44 Copper production</v>
      </c>
      <c r="K289" t="s">
        <v>3069</v>
      </c>
    </row>
    <row r="290" spans="1:11" x14ac:dyDescent="0.35">
      <c r="A290" s="329" t="s">
        <v>906</v>
      </c>
      <c r="B290" t="s">
        <v>907</v>
      </c>
      <c r="C290" s="328" t="s">
        <v>3748</v>
      </c>
      <c r="D290" s="329" t="str">
        <f t="shared" si="8"/>
        <v>NACE C - 24.45 Other non-ferrous metal production</v>
      </c>
      <c r="K290" t="s">
        <v>3070</v>
      </c>
    </row>
    <row r="291" spans="1:11" x14ac:dyDescent="0.35">
      <c r="A291" s="329" t="s">
        <v>908</v>
      </c>
      <c r="B291" t="s">
        <v>909</v>
      </c>
      <c r="C291" s="325" t="s">
        <v>3749</v>
      </c>
      <c r="D291" s="329" t="str">
        <f t="shared" si="8"/>
        <v>NACE C - 24.46 Processing of nuclear fuel</v>
      </c>
      <c r="K291" t="s">
        <v>3071</v>
      </c>
    </row>
    <row r="292" spans="1:11" x14ac:dyDescent="0.35">
      <c r="A292" s="328" t="s">
        <v>910</v>
      </c>
      <c r="B292" t="s">
        <v>911</v>
      </c>
      <c r="C292" s="328" t="s">
        <v>3750</v>
      </c>
      <c r="D292" s="328" t="str">
        <f t="shared" si="8"/>
        <v>NACE C - 24.5 Casting of metals</v>
      </c>
      <c r="K292" t="s">
        <v>3072</v>
      </c>
    </row>
    <row r="293" spans="1:11" x14ac:dyDescent="0.35">
      <c r="A293" s="329" t="s">
        <v>912</v>
      </c>
      <c r="B293" t="s">
        <v>913</v>
      </c>
      <c r="C293" s="328" t="s">
        <v>3751</v>
      </c>
      <c r="D293" s="329" t="str">
        <f t="shared" si="8"/>
        <v>NACE C - 24.51 Casting of iron</v>
      </c>
      <c r="K293" t="s">
        <v>3073</v>
      </c>
    </row>
    <row r="294" spans="1:11" x14ac:dyDescent="0.35">
      <c r="A294" s="329" t="s">
        <v>914</v>
      </c>
      <c r="B294" t="s">
        <v>915</v>
      </c>
      <c r="C294" s="325" t="s">
        <v>3752</v>
      </c>
      <c r="D294" s="329" t="str">
        <f t="shared" si="8"/>
        <v>NACE C - 24.52 Casting of steel</v>
      </c>
      <c r="K294" t="s">
        <v>3074</v>
      </c>
    </row>
    <row r="295" spans="1:11" x14ac:dyDescent="0.35">
      <c r="A295" s="329" t="s">
        <v>916</v>
      </c>
      <c r="B295" t="s">
        <v>917</v>
      </c>
      <c r="C295" s="328" t="s">
        <v>3753</v>
      </c>
      <c r="D295" s="329" t="str">
        <f t="shared" si="8"/>
        <v>NACE C - 24.53 Casting of light metals</v>
      </c>
      <c r="K295" t="s">
        <v>3075</v>
      </c>
    </row>
    <row r="296" spans="1:11" x14ac:dyDescent="0.35">
      <c r="A296" s="329" t="s">
        <v>918</v>
      </c>
      <c r="B296" t="s">
        <v>919</v>
      </c>
      <c r="C296" s="328" t="s">
        <v>3754</v>
      </c>
      <c r="D296" s="329" t="str">
        <f t="shared" si="8"/>
        <v>NACE C - 24.54 Casting of other non-ferrous metals</v>
      </c>
      <c r="K296" t="s">
        <v>3076</v>
      </c>
    </row>
    <row r="297" spans="1:11" x14ac:dyDescent="0.35">
      <c r="A297" s="325" t="s">
        <v>920</v>
      </c>
      <c r="B297" t="s">
        <v>921</v>
      </c>
      <c r="C297" s="325" t="s">
        <v>3755</v>
      </c>
      <c r="D297" s="325" t="str">
        <f t="shared" si="8"/>
        <v>NACE C - 25 Manufacture of fabricated metal products, except machinery and equipment</v>
      </c>
      <c r="K297" t="s">
        <v>2603</v>
      </c>
    </row>
    <row r="298" spans="1:11" x14ac:dyDescent="0.35">
      <c r="A298" s="328" t="s">
        <v>922</v>
      </c>
      <c r="B298" t="s">
        <v>923</v>
      </c>
      <c r="C298" s="328" t="s">
        <v>3756</v>
      </c>
      <c r="D298" s="328" t="str">
        <f t="shared" si="8"/>
        <v>NACE C - 25.1 Manufacture of structural metal products</v>
      </c>
      <c r="K298" t="s">
        <v>2604</v>
      </c>
    </row>
    <row r="299" spans="1:11" x14ac:dyDescent="0.35">
      <c r="A299" s="329" t="s">
        <v>924</v>
      </c>
      <c r="B299" t="s">
        <v>925</v>
      </c>
      <c r="C299" s="328" t="s">
        <v>3757</v>
      </c>
      <c r="D299" s="329" t="str">
        <f t="shared" si="8"/>
        <v>NACE C - 25.11 Manufacture of metal structures and parts of structures</v>
      </c>
      <c r="K299" t="s">
        <v>2446</v>
      </c>
    </row>
    <row r="300" spans="1:11" x14ac:dyDescent="0.35">
      <c r="A300" s="329" t="s">
        <v>926</v>
      </c>
      <c r="B300" t="s">
        <v>927</v>
      </c>
      <c r="C300" s="328" t="s">
        <v>3758</v>
      </c>
      <c r="D300" s="329" t="str">
        <f t="shared" si="8"/>
        <v>NACE C - 25.12 Manufacture of doors and windows of metal</v>
      </c>
      <c r="K300" t="s">
        <v>2890</v>
      </c>
    </row>
    <row r="301" spans="1:11" x14ac:dyDescent="0.35">
      <c r="A301" s="328" t="s">
        <v>928</v>
      </c>
      <c r="B301" t="s">
        <v>929</v>
      </c>
      <c r="C301" s="325" t="s">
        <v>3759</v>
      </c>
      <c r="D301" s="328" t="str">
        <f t="shared" si="8"/>
        <v>NACE C - 25.2 Manufacture of tanks, reservoirs and containers of metal</v>
      </c>
      <c r="K301" t="s">
        <v>3077</v>
      </c>
    </row>
    <row r="302" spans="1:11" x14ac:dyDescent="0.35">
      <c r="A302" s="329" t="s">
        <v>930</v>
      </c>
      <c r="B302" t="s">
        <v>931</v>
      </c>
      <c r="C302" s="328" t="s">
        <v>3760</v>
      </c>
      <c r="D302" s="329" t="str">
        <f t="shared" si="8"/>
        <v>NACE C - 25.21 Manufacture of central heating radiators, steam generators and boilers</v>
      </c>
      <c r="K302" t="s">
        <v>2605</v>
      </c>
    </row>
    <row r="303" spans="1:11" x14ac:dyDescent="0.35">
      <c r="A303" s="329" t="s">
        <v>932</v>
      </c>
      <c r="B303" t="s">
        <v>933</v>
      </c>
      <c r="C303" s="328" t="s">
        <v>3761</v>
      </c>
      <c r="D303" s="329" t="str">
        <f t="shared" si="8"/>
        <v>NACE C - 25.22 Manufacture of other tanks, reservoirs and containers of metal</v>
      </c>
      <c r="K303" t="s">
        <v>3078</v>
      </c>
    </row>
    <row r="304" spans="1:11" x14ac:dyDescent="0.35">
      <c r="A304" s="328" t="s">
        <v>934</v>
      </c>
      <c r="B304" t="s">
        <v>935</v>
      </c>
      <c r="C304" s="328" t="s">
        <v>3762</v>
      </c>
      <c r="D304" s="328" t="str">
        <f t="shared" si="8"/>
        <v>NACE C - 25.3 Manufacture of weapons and ammunition</v>
      </c>
      <c r="K304" t="s">
        <v>2606</v>
      </c>
    </row>
    <row r="305" spans="1:11" x14ac:dyDescent="0.35">
      <c r="A305" s="329" t="s">
        <v>936</v>
      </c>
      <c r="B305" t="s">
        <v>937</v>
      </c>
      <c r="C305" s="328" t="s">
        <v>3763</v>
      </c>
      <c r="D305" s="329" t="str">
        <f t="shared" si="8"/>
        <v>NACE C - 25.30 Manufacture of weapons and ammunition</v>
      </c>
      <c r="K305" t="s">
        <v>3079</v>
      </c>
    </row>
    <row r="306" spans="1:11" x14ac:dyDescent="0.35">
      <c r="A306" s="328" t="s">
        <v>938</v>
      </c>
      <c r="B306" t="s">
        <v>939</v>
      </c>
      <c r="C306" s="325" t="s">
        <v>3764</v>
      </c>
      <c r="D306" s="328" t="str">
        <f t="shared" si="8"/>
        <v>NACE C - 25.4 Forging and shaping metal and powder metallurgy</v>
      </c>
      <c r="K306" t="s">
        <v>2607</v>
      </c>
    </row>
    <row r="307" spans="1:11" x14ac:dyDescent="0.35">
      <c r="A307" s="329" t="s">
        <v>940</v>
      </c>
      <c r="B307" t="s">
        <v>941</v>
      </c>
      <c r="C307" s="328" t="s">
        <v>3765</v>
      </c>
      <c r="D307" s="329" t="str">
        <f t="shared" si="8"/>
        <v>NACE C - 25.40 Forging and shaping metal and powder metallurgy</v>
      </c>
      <c r="K307" t="s">
        <v>3080</v>
      </c>
    </row>
    <row r="308" spans="1:11" x14ac:dyDescent="0.35">
      <c r="A308" s="328" t="s">
        <v>942</v>
      </c>
      <c r="B308" t="s">
        <v>943</v>
      </c>
      <c r="C308" s="326" t="s">
        <v>3742</v>
      </c>
      <c r="D308" s="328" t="str">
        <f t="shared" si="8"/>
        <v>NACE C - 25.5 Treatment and coating of metals; machining</v>
      </c>
      <c r="K308" t="s">
        <v>2608</v>
      </c>
    </row>
    <row r="309" spans="1:11" x14ac:dyDescent="0.35">
      <c r="A309" s="329" t="s">
        <v>944</v>
      </c>
      <c r="B309" t="s">
        <v>945</v>
      </c>
      <c r="C309" s="325" t="s">
        <v>3767</v>
      </c>
      <c r="D309" s="329" t="str">
        <f t="shared" si="8"/>
        <v>NACE C - 25.51 Coating of metals</v>
      </c>
      <c r="K309" t="s">
        <v>3081</v>
      </c>
    </row>
    <row r="310" spans="1:11" x14ac:dyDescent="0.35">
      <c r="A310" s="329" t="s">
        <v>946</v>
      </c>
      <c r="B310" t="s">
        <v>947</v>
      </c>
      <c r="C310" s="328" t="s">
        <v>3768</v>
      </c>
      <c r="D310" s="329" t="str">
        <f t="shared" si="8"/>
        <v>NACE C - 25.52 Heat treatment of metals</v>
      </c>
      <c r="K310" t="s">
        <v>2609</v>
      </c>
    </row>
    <row r="311" spans="1:11" x14ac:dyDescent="0.35">
      <c r="A311" s="329" t="s">
        <v>948</v>
      </c>
      <c r="B311" t="s">
        <v>949</v>
      </c>
      <c r="C311" s="328" t="s">
        <v>3769</v>
      </c>
      <c r="D311" s="329" t="str">
        <f t="shared" si="8"/>
        <v>NACE C - 25.53 Machining of metals</v>
      </c>
      <c r="K311" t="s">
        <v>3082</v>
      </c>
    </row>
    <row r="312" spans="1:11" x14ac:dyDescent="0.35">
      <c r="A312" s="328" t="s">
        <v>950</v>
      </c>
      <c r="B312" t="s">
        <v>951</v>
      </c>
      <c r="C312" s="328" t="s">
        <v>3770</v>
      </c>
      <c r="D312" s="328" t="str">
        <f t="shared" si="8"/>
        <v>NACE C - 25.6 Manufacture of cutlery, tools and general hardware</v>
      </c>
      <c r="K312" t="s">
        <v>2610</v>
      </c>
    </row>
    <row r="313" spans="1:11" x14ac:dyDescent="0.35">
      <c r="A313" s="329" t="s">
        <v>952</v>
      </c>
      <c r="B313" t="s">
        <v>953</v>
      </c>
      <c r="C313" s="328" t="s">
        <v>3771</v>
      </c>
      <c r="D313" s="329" t="str">
        <f t="shared" si="8"/>
        <v>NACE C - 25.61 Manufacture of cutlery</v>
      </c>
      <c r="K313" t="s">
        <v>2891</v>
      </c>
    </row>
    <row r="314" spans="1:11" x14ac:dyDescent="0.35">
      <c r="A314" s="329" t="s">
        <v>954</v>
      </c>
      <c r="B314" t="s">
        <v>955</v>
      </c>
      <c r="C314" s="328" t="s">
        <v>3772</v>
      </c>
      <c r="D314" s="329" t="str">
        <f t="shared" si="8"/>
        <v>NACE C - 25.62 Manufacture of locks and hinges</v>
      </c>
      <c r="K314" t="s">
        <v>2611</v>
      </c>
    </row>
    <row r="315" spans="1:11" x14ac:dyDescent="0.35">
      <c r="A315" s="329" t="s">
        <v>956</v>
      </c>
      <c r="B315" t="s">
        <v>957</v>
      </c>
      <c r="C315" s="325" t="s">
        <v>3773</v>
      </c>
      <c r="D315" s="329" t="str">
        <f t="shared" si="8"/>
        <v>NACE C - 25.63 Manufacture of tools</v>
      </c>
      <c r="K315" t="s">
        <v>2612</v>
      </c>
    </row>
    <row r="316" spans="1:11" x14ac:dyDescent="0.35">
      <c r="A316" s="328" t="s">
        <v>958</v>
      </c>
      <c r="B316" t="s">
        <v>959</v>
      </c>
      <c r="C316" s="328" t="s">
        <v>3774</v>
      </c>
      <c r="D316" s="328" t="str">
        <f t="shared" si="8"/>
        <v>NACE C - 25.9 Manufacture of other fabricated metal products</v>
      </c>
      <c r="K316" t="s">
        <v>2613</v>
      </c>
    </row>
    <row r="317" spans="1:11" x14ac:dyDescent="0.35">
      <c r="A317" s="329" t="s">
        <v>960</v>
      </c>
      <c r="B317" t="s">
        <v>961</v>
      </c>
      <c r="C317" s="328" t="s">
        <v>3775</v>
      </c>
      <c r="D317" s="329" t="str">
        <f t="shared" si="8"/>
        <v>NACE C - 25.91 Manufacture of steel drums and similar containers</v>
      </c>
      <c r="K317" t="s">
        <v>2614</v>
      </c>
    </row>
    <row r="318" spans="1:11" x14ac:dyDescent="0.35">
      <c r="A318" s="329" t="s">
        <v>962</v>
      </c>
      <c r="B318" t="s">
        <v>963</v>
      </c>
      <c r="C318" s="325" t="s">
        <v>3776</v>
      </c>
      <c r="D318" s="329" t="str">
        <f t="shared" si="8"/>
        <v>NACE C - 25.92 Manufacture of light metal packaging</v>
      </c>
      <c r="K318" t="s">
        <v>2892</v>
      </c>
    </row>
    <row r="319" spans="1:11" x14ac:dyDescent="0.35">
      <c r="A319" s="329" t="s">
        <v>964</v>
      </c>
      <c r="B319" t="s">
        <v>965</v>
      </c>
      <c r="C319" s="328" t="s">
        <v>3777</v>
      </c>
      <c r="D319" s="329" t="str">
        <f t="shared" si="8"/>
        <v>NACE C - 25.93 Manufacture of wire products, chain and springs</v>
      </c>
      <c r="K319" t="s">
        <v>3083</v>
      </c>
    </row>
    <row r="320" spans="1:11" x14ac:dyDescent="0.35">
      <c r="A320" s="329" t="s">
        <v>966</v>
      </c>
      <c r="B320" t="s">
        <v>967</v>
      </c>
      <c r="C320" s="328" t="s">
        <v>3778</v>
      </c>
      <c r="D320" s="329" t="str">
        <f t="shared" si="8"/>
        <v>NACE C - 25.94 Manufacture of fasteners and screw machine products</v>
      </c>
      <c r="K320" t="s">
        <v>3084</v>
      </c>
    </row>
    <row r="321" spans="1:11" x14ac:dyDescent="0.35">
      <c r="A321" s="329" t="s">
        <v>968</v>
      </c>
      <c r="B321" t="s">
        <v>969</v>
      </c>
      <c r="C321" s="325" t="s">
        <v>3779</v>
      </c>
      <c r="D321" s="329" t="str">
        <f t="shared" si="8"/>
        <v>NACE C - 25.99 Manufacture of other fabricated metal products n.e.c.</v>
      </c>
      <c r="K321" t="s">
        <v>2615</v>
      </c>
    </row>
    <row r="322" spans="1:11" x14ac:dyDescent="0.35">
      <c r="A322" s="325" t="s">
        <v>970</v>
      </c>
      <c r="B322" t="s">
        <v>971</v>
      </c>
      <c r="C322" s="328" t="s">
        <v>3780</v>
      </c>
      <c r="D322" s="325" t="str">
        <f t="shared" ref="D322:D385" si="9">_xlfn.CONCAT("NACE ", A322)</f>
        <v>NACE C - 26 Manufacture of computer, electronic and optical products</v>
      </c>
      <c r="K322" t="s">
        <v>2616</v>
      </c>
    </row>
    <row r="323" spans="1:11" x14ac:dyDescent="0.35">
      <c r="A323" s="328" t="s">
        <v>972</v>
      </c>
      <c r="B323" t="s">
        <v>973</v>
      </c>
      <c r="C323" s="325" t="s">
        <v>3781</v>
      </c>
      <c r="D323" s="328" t="str">
        <f t="shared" si="9"/>
        <v>NACE C - 26.1 Manufacture of electronic components and boards</v>
      </c>
      <c r="K323" t="s">
        <v>3085</v>
      </c>
    </row>
    <row r="324" spans="1:11" x14ac:dyDescent="0.35">
      <c r="A324" s="329" t="s">
        <v>974</v>
      </c>
      <c r="B324" t="s">
        <v>975</v>
      </c>
      <c r="C324" s="328" t="s">
        <v>3782</v>
      </c>
      <c r="D324" s="329" t="str">
        <f t="shared" si="9"/>
        <v>NACE C - 26.11 Manufacture of electronic components</v>
      </c>
      <c r="K324" t="s">
        <v>3086</v>
      </c>
    </row>
    <row r="325" spans="1:11" x14ac:dyDescent="0.35">
      <c r="A325" s="329" t="s">
        <v>976</v>
      </c>
      <c r="B325" t="s">
        <v>977</v>
      </c>
      <c r="C325" s="328" t="s">
        <v>3783</v>
      </c>
      <c r="D325" s="329" t="str">
        <f t="shared" si="9"/>
        <v>NACE C - 26.12 Manufacture of loaded electronic boards</v>
      </c>
      <c r="K325" t="s">
        <v>2617</v>
      </c>
    </row>
    <row r="326" spans="1:11" x14ac:dyDescent="0.35">
      <c r="A326" s="328" t="s">
        <v>978</v>
      </c>
      <c r="B326" t="s">
        <v>979</v>
      </c>
      <c r="C326" s="328" t="s">
        <v>3784</v>
      </c>
      <c r="D326" s="328" t="str">
        <f t="shared" si="9"/>
        <v>NACE C - 26.2 Manufacture of computers and peripheral equipment</v>
      </c>
      <c r="K326" t="s">
        <v>2618</v>
      </c>
    </row>
    <row r="327" spans="1:11" x14ac:dyDescent="0.35">
      <c r="A327" s="329" t="s">
        <v>980</v>
      </c>
      <c r="B327" t="s">
        <v>981</v>
      </c>
      <c r="C327" s="325" t="s">
        <v>3785</v>
      </c>
      <c r="D327" s="329" t="str">
        <f t="shared" si="9"/>
        <v>NACE C - 26.20 Manufacture of computers and peripheral equipment</v>
      </c>
      <c r="K327" t="s">
        <v>2619</v>
      </c>
    </row>
    <row r="328" spans="1:11" x14ac:dyDescent="0.35">
      <c r="A328" s="328" t="s">
        <v>982</v>
      </c>
      <c r="B328" t="s">
        <v>983</v>
      </c>
      <c r="C328" s="328" t="s">
        <v>3786</v>
      </c>
      <c r="D328" s="328" t="str">
        <f t="shared" si="9"/>
        <v>NACE C - 26.3 Manufacture of communication equipment</v>
      </c>
      <c r="K328" t="s">
        <v>3087</v>
      </c>
    </row>
    <row r="329" spans="1:11" x14ac:dyDescent="0.35">
      <c r="A329" s="329" t="s">
        <v>984</v>
      </c>
      <c r="B329" t="s">
        <v>985</v>
      </c>
      <c r="C329" s="328" t="s">
        <v>3787</v>
      </c>
      <c r="D329" s="329" t="str">
        <f t="shared" si="9"/>
        <v>NACE C - 26.30 Manufacture of communication equipment</v>
      </c>
      <c r="K329" t="s">
        <v>3088</v>
      </c>
    </row>
    <row r="330" spans="1:11" x14ac:dyDescent="0.35">
      <c r="A330" s="328" t="s">
        <v>986</v>
      </c>
      <c r="B330" t="s">
        <v>987</v>
      </c>
      <c r="C330" s="328" t="s">
        <v>3788</v>
      </c>
      <c r="D330" s="328" t="str">
        <f t="shared" si="9"/>
        <v>NACE C - 26.4 Manufacture of consumer electronics</v>
      </c>
      <c r="K330" t="s">
        <v>2620</v>
      </c>
    </row>
    <row r="331" spans="1:11" x14ac:dyDescent="0.35">
      <c r="A331" s="329" t="s">
        <v>988</v>
      </c>
      <c r="B331" t="s">
        <v>989</v>
      </c>
      <c r="C331" s="328" t="s">
        <v>3789</v>
      </c>
      <c r="D331" s="329" t="str">
        <f t="shared" si="9"/>
        <v>NACE C - 26.40 Manufacture of consumer electronics</v>
      </c>
      <c r="K331" t="s">
        <v>2893</v>
      </c>
    </row>
    <row r="332" spans="1:11" x14ac:dyDescent="0.35">
      <c r="A332" s="328" t="s">
        <v>990</v>
      </c>
      <c r="B332" t="s">
        <v>991</v>
      </c>
      <c r="C332" s="328" t="s">
        <v>3790</v>
      </c>
      <c r="D332" s="328" t="str">
        <f t="shared" si="9"/>
        <v>NACE C - 26.5 Manufacture of measuring testing instruments, clocks and watches</v>
      </c>
      <c r="K332" t="s">
        <v>3089</v>
      </c>
    </row>
    <row r="333" spans="1:11" x14ac:dyDescent="0.35">
      <c r="A333" s="329" t="s">
        <v>992</v>
      </c>
      <c r="B333" t="s">
        <v>993</v>
      </c>
      <c r="C333" s="326" t="s">
        <v>3766</v>
      </c>
      <c r="D333" s="329" t="str">
        <f t="shared" si="9"/>
        <v>NACE C - 26.51 Manufacture of instruments and appliances for measuring, testing and navigation</v>
      </c>
      <c r="K333" t="s">
        <v>2621</v>
      </c>
    </row>
    <row r="334" spans="1:11" x14ac:dyDescent="0.35">
      <c r="A334" s="329" t="s">
        <v>994</v>
      </c>
      <c r="B334" t="s">
        <v>995</v>
      </c>
      <c r="C334" s="325" t="s">
        <v>3792</v>
      </c>
      <c r="D334" s="329" t="str">
        <f t="shared" si="9"/>
        <v>NACE C - 26.52 Manufacture of watches and clocks</v>
      </c>
      <c r="K334" t="s">
        <v>3090</v>
      </c>
    </row>
    <row r="335" spans="1:11" x14ac:dyDescent="0.35">
      <c r="A335" s="328" t="s">
        <v>996</v>
      </c>
      <c r="B335" t="s">
        <v>997</v>
      </c>
      <c r="C335" s="328" t="s">
        <v>3793</v>
      </c>
      <c r="D335" s="328" t="str">
        <f t="shared" si="9"/>
        <v>NACE C - 26.6 Manufacture of irradiation, electromedical and electrotherapeutic equipment</v>
      </c>
      <c r="K335" t="s">
        <v>2622</v>
      </c>
    </row>
    <row r="336" spans="1:11" x14ac:dyDescent="0.35">
      <c r="A336" s="329" t="s">
        <v>998</v>
      </c>
      <c r="B336" t="s">
        <v>999</v>
      </c>
      <c r="C336" s="328" t="s">
        <v>3794</v>
      </c>
      <c r="D336" s="329" t="str">
        <f t="shared" si="9"/>
        <v>NACE C - 26.60 Manufacture of irradiation, electromedical and electrotherapeutic equipment</v>
      </c>
      <c r="K336" t="s">
        <v>3091</v>
      </c>
    </row>
    <row r="337" spans="1:11" x14ac:dyDescent="0.35">
      <c r="A337" s="328" t="s">
        <v>1000</v>
      </c>
      <c r="B337" t="s">
        <v>1001</v>
      </c>
      <c r="C337" s="328" t="s">
        <v>3795</v>
      </c>
      <c r="D337" s="328" t="str">
        <f t="shared" si="9"/>
        <v>NACE C - 26.7 Manufacture of optical instruments, magnetic and optical media and photographic equipment</v>
      </c>
      <c r="K337" t="s">
        <v>2623</v>
      </c>
    </row>
    <row r="338" spans="1:11" x14ac:dyDescent="0.35">
      <c r="A338" s="329" t="s">
        <v>1002</v>
      </c>
      <c r="B338" t="s">
        <v>1003</v>
      </c>
      <c r="C338" s="326" t="s">
        <v>3791</v>
      </c>
      <c r="D338" s="329" t="str">
        <f t="shared" si="9"/>
        <v>NACE C - 26.70 Manufacture of optical instruments, magnetic and optical media and photographic equipment</v>
      </c>
      <c r="K338" t="s">
        <v>3092</v>
      </c>
    </row>
    <row r="339" spans="1:11" x14ac:dyDescent="0.35">
      <c r="A339" s="325" t="s">
        <v>1004</v>
      </c>
      <c r="B339" t="s">
        <v>1005</v>
      </c>
      <c r="C339" s="325" t="s">
        <v>3797</v>
      </c>
      <c r="D339" s="325" t="str">
        <f t="shared" si="9"/>
        <v>NACE C - 27 Manufacture of electrical equipment</v>
      </c>
      <c r="K339" t="s">
        <v>2624</v>
      </c>
    </row>
    <row r="340" spans="1:11" x14ac:dyDescent="0.35">
      <c r="A340" s="328" t="s">
        <v>1006</v>
      </c>
      <c r="B340" t="s">
        <v>1007</v>
      </c>
      <c r="C340" s="328" t="s">
        <v>3798</v>
      </c>
      <c r="D340" s="328" t="str">
        <f t="shared" si="9"/>
        <v>NACE C - 27.1 Manufacture of electric motors, generators, transformers and electricity distribution and control apparatus</v>
      </c>
      <c r="K340" t="s">
        <v>2625</v>
      </c>
    </row>
    <row r="341" spans="1:11" x14ac:dyDescent="0.35">
      <c r="A341" s="329" t="s">
        <v>1008</v>
      </c>
      <c r="B341" t="s">
        <v>1009</v>
      </c>
      <c r="C341" s="328" t="s">
        <v>3799</v>
      </c>
      <c r="D341" s="329" t="str">
        <f t="shared" si="9"/>
        <v>NACE C - 27.11 Manufacture of electric motors, generators and transformers</v>
      </c>
      <c r="K341" t="s">
        <v>2894</v>
      </c>
    </row>
    <row r="342" spans="1:11" x14ac:dyDescent="0.35">
      <c r="A342" s="329" t="s">
        <v>1010</v>
      </c>
      <c r="B342" t="s">
        <v>1011</v>
      </c>
      <c r="C342" s="328" t="s">
        <v>3800</v>
      </c>
      <c r="D342" s="329" t="str">
        <f t="shared" si="9"/>
        <v>NACE C - 27.12 Manufacture of electricity distribution and control apparatus</v>
      </c>
      <c r="K342" t="s">
        <v>3093</v>
      </c>
    </row>
    <row r="343" spans="1:11" x14ac:dyDescent="0.35">
      <c r="A343" s="328" t="s">
        <v>1012</v>
      </c>
      <c r="B343" t="s">
        <v>1013</v>
      </c>
      <c r="C343" s="328" t="s">
        <v>3801</v>
      </c>
      <c r="D343" s="328" t="str">
        <f t="shared" si="9"/>
        <v>NACE C - 27.2 Manufacture of batteries and accumulators</v>
      </c>
      <c r="K343" t="s">
        <v>2447</v>
      </c>
    </row>
    <row r="344" spans="1:11" x14ac:dyDescent="0.35">
      <c r="A344" s="329" t="s">
        <v>1014</v>
      </c>
      <c r="B344" t="s">
        <v>1015</v>
      </c>
      <c r="C344" s="328" t="s">
        <v>3802</v>
      </c>
      <c r="D344" s="329" t="str">
        <f t="shared" si="9"/>
        <v>NACE C - 27.20 Manufacture of batteries and accumulators</v>
      </c>
      <c r="K344" t="s">
        <v>2895</v>
      </c>
    </row>
    <row r="345" spans="1:11" x14ac:dyDescent="0.35">
      <c r="A345" s="328" t="s">
        <v>1016</v>
      </c>
      <c r="B345" t="s">
        <v>1017</v>
      </c>
      <c r="C345" s="328" t="s">
        <v>3803</v>
      </c>
      <c r="D345" s="328" t="str">
        <f t="shared" si="9"/>
        <v>NACE C - 27.3 Manufacture of wiring and wiring devices</v>
      </c>
      <c r="K345" t="s">
        <v>3094</v>
      </c>
    </row>
    <row r="346" spans="1:11" x14ac:dyDescent="0.35">
      <c r="A346" s="329" t="s">
        <v>1018</v>
      </c>
      <c r="B346" t="s">
        <v>1019</v>
      </c>
      <c r="C346" s="326" t="s">
        <v>3796</v>
      </c>
      <c r="D346" s="329" t="str">
        <f t="shared" si="9"/>
        <v>NACE C - 27.31 Manufacture of fibre optic cables</v>
      </c>
      <c r="K346" t="s">
        <v>3095</v>
      </c>
    </row>
    <row r="347" spans="1:11" x14ac:dyDescent="0.35">
      <c r="A347" s="329" t="s">
        <v>1020</v>
      </c>
      <c r="B347" t="s">
        <v>1021</v>
      </c>
      <c r="C347" s="325" t="s">
        <v>3805</v>
      </c>
      <c r="D347" s="329" t="str">
        <f t="shared" si="9"/>
        <v>NACE C - 27.32 Manufacture of other electronic and electric wires and cables</v>
      </c>
      <c r="K347" t="s">
        <v>3096</v>
      </c>
    </row>
    <row r="348" spans="1:11" x14ac:dyDescent="0.35">
      <c r="A348" s="329" t="s">
        <v>1022</v>
      </c>
      <c r="B348" t="s">
        <v>1023</v>
      </c>
      <c r="C348" s="328" t="s">
        <v>3806</v>
      </c>
      <c r="D348" s="329" t="str">
        <f t="shared" si="9"/>
        <v>NACE C - 27.33 Manufacture of wiring devices</v>
      </c>
      <c r="K348" t="s">
        <v>3097</v>
      </c>
    </row>
    <row r="349" spans="1:11" x14ac:dyDescent="0.35">
      <c r="A349" s="328" t="s">
        <v>1024</v>
      </c>
      <c r="B349" t="s">
        <v>1025</v>
      </c>
      <c r="C349" s="328" t="s">
        <v>3807</v>
      </c>
      <c r="D349" s="328" t="str">
        <f t="shared" si="9"/>
        <v>NACE C - 27.4 Manufacture of lighting equipment</v>
      </c>
      <c r="K349" t="s">
        <v>3098</v>
      </c>
    </row>
    <row r="350" spans="1:11" x14ac:dyDescent="0.35">
      <c r="A350" s="329" t="s">
        <v>1026</v>
      </c>
      <c r="B350" t="s">
        <v>1027</v>
      </c>
      <c r="C350" s="328" t="s">
        <v>3808</v>
      </c>
      <c r="D350" s="329" t="str">
        <f t="shared" si="9"/>
        <v>NACE C - 27.40 Manufacture of lighting equipment</v>
      </c>
      <c r="K350" t="s">
        <v>3099</v>
      </c>
    </row>
    <row r="351" spans="1:11" x14ac:dyDescent="0.35">
      <c r="A351" s="328" t="s">
        <v>1028</v>
      </c>
      <c r="B351" t="s">
        <v>1029</v>
      </c>
      <c r="C351" s="325" t="s">
        <v>3809</v>
      </c>
      <c r="D351" s="328" t="str">
        <f t="shared" si="9"/>
        <v>NACE C - 27.5 Manufacture of domestic appliances</v>
      </c>
      <c r="K351" t="s">
        <v>2626</v>
      </c>
    </row>
    <row r="352" spans="1:11" x14ac:dyDescent="0.35">
      <c r="A352" s="329" t="s">
        <v>1030</v>
      </c>
      <c r="B352" t="s">
        <v>1031</v>
      </c>
      <c r="C352" s="328" t="s">
        <v>3810</v>
      </c>
      <c r="D352" s="329" t="str">
        <f t="shared" si="9"/>
        <v>NACE C - 27.51 Manufacture of electric domestic appliances</v>
      </c>
      <c r="K352" t="s">
        <v>2627</v>
      </c>
    </row>
    <row r="353" spans="1:11" x14ac:dyDescent="0.35">
      <c r="A353" s="329" t="s">
        <v>1032</v>
      </c>
      <c r="B353" t="s">
        <v>1033</v>
      </c>
      <c r="C353" s="328" t="s">
        <v>3811</v>
      </c>
      <c r="D353" s="329" t="str">
        <f t="shared" si="9"/>
        <v>NACE C - 27.52 Manufacture of non-electric domestic appliances</v>
      </c>
      <c r="K353" t="s">
        <v>2628</v>
      </c>
    </row>
    <row r="354" spans="1:11" x14ac:dyDescent="0.35">
      <c r="A354" s="328" t="s">
        <v>1034</v>
      </c>
      <c r="B354" t="s">
        <v>1035</v>
      </c>
      <c r="C354" s="328" t="s">
        <v>3812</v>
      </c>
      <c r="D354" s="328" t="str">
        <f t="shared" si="9"/>
        <v>NACE C - 27.9 Manufacture of other electrical equipment</v>
      </c>
      <c r="K354" t="s">
        <v>3100</v>
      </c>
    </row>
    <row r="355" spans="1:11" x14ac:dyDescent="0.35">
      <c r="A355" s="329" t="s">
        <v>1036</v>
      </c>
      <c r="B355" t="s">
        <v>1037</v>
      </c>
      <c r="C355" s="328" t="s">
        <v>3813</v>
      </c>
      <c r="D355" s="329" t="str">
        <f t="shared" si="9"/>
        <v>NACE C - 27.90 Manufacture of other electrical equipment</v>
      </c>
      <c r="K355" t="s">
        <v>2629</v>
      </c>
    </row>
    <row r="356" spans="1:11" x14ac:dyDescent="0.35">
      <c r="A356" s="325" t="s">
        <v>1038</v>
      </c>
      <c r="B356" t="s">
        <v>1039</v>
      </c>
      <c r="C356" s="325" t="s">
        <v>3814</v>
      </c>
      <c r="D356" s="325" t="str">
        <f t="shared" si="9"/>
        <v>NACE C - 28 Manufacture of machinery and equipment n.e.c.</v>
      </c>
      <c r="K356" t="s">
        <v>2630</v>
      </c>
    </row>
    <row r="357" spans="1:11" x14ac:dyDescent="0.35">
      <c r="A357" s="328" t="s">
        <v>1040</v>
      </c>
      <c r="B357" t="s">
        <v>1041</v>
      </c>
      <c r="C357" s="328" t="s">
        <v>3815</v>
      </c>
      <c r="D357" s="328" t="str">
        <f t="shared" si="9"/>
        <v>NACE C - 28.1 Manufacture of general-purpose machinery</v>
      </c>
      <c r="K357" t="s">
        <v>2448</v>
      </c>
    </row>
    <row r="358" spans="1:11" x14ac:dyDescent="0.35">
      <c r="A358" s="329" t="s">
        <v>1042</v>
      </c>
      <c r="B358" t="s">
        <v>1043</v>
      </c>
      <c r="C358" s="328" t="s">
        <v>3816</v>
      </c>
      <c r="D358" s="329" t="str">
        <f t="shared" si="9"/>
        <v>NACE C - 28.11 Manufacture of engines and turbines, except aircraft, vehicle and cycle engines</v>
      </c>
      <c r="K358" t="s">
        <v>2896</v>
      </c>
    </row>
    <row r="359" spans="1:11" x14ac:dyDescent="0.35">
      <c r="A359" s="329" t="s">
        <v>1044</v>
      </c>
      <c r="B359" t="s">
        <v>1045</v>
      </c>
      <c r="C359" s="326" t="s">
        <v>3804</v>
      </c>
      <c r="D359" s="329" t="str">
        <f t="shared" si="9"/>
        <v>NACE C - 28.12 Manufacture of fluid power equipment</v>
      </c>
      <c r="K359" t="s">
        <v>2631</v>
      </c>
    </row>
    <row r="360" spans="1:11" x14ac:dyDescent="0.35">
      <c r="A360" s="329" t="s">
        <v>1046</v>
      </c>
      <c r="B360" t="s">
        <v>1047</v>
      </c>
      <c r="C360" s="325" t="s">
        <v>3818</v>
      </c>
      <c r="D360" s="329" t="str">
        <f t="shared" si="9"/>
        <v>NACE C - 28.13 Manufacture of other pumps and compressors</v>
      </c>
      <c r="K360" t="s">
        <v>2632</v>
      </c>
    </row>
    <row r="361" spans="1:11" x14ac:dyDescent="0.35">
      <c r="A361" s="329" t="s">
        <v>1048</v>
      </c>
      <c r="B361" t="s">
        <v>1049</v>
      </c>
      <c r="C361" s="328" t="s">
        <v>3819</v>
      </c>
      <c r="D361" s="329" t="str">
        <f t="shared" si="9"/>
        <v>NACE C - 28.14 Manufacture of other taps and valves</v>
      </c>
      <c r="K361" t="s">
        <v>2633</v>
      </c>
    </row>
    <row r="362" spans="1:11" x14ac:dyDescent="0.35">
      <c r="A362" s="329" t="s">
        <v>1050</v>
      </c>
      <c r="B362" t="s">
        <v>1051</v>
      </c>
      <c r="C362" s="328" t="s">
        <v>3820</v>
      </c>
      <c r="D362" s="329" t="str">
        <f t="shared" si="9"/>
        <v>NACE C - 28.15 Manufacture of bearings, gears, gearing and driving elements</v>
      </c>
      <c r="K362" t="s">
        <v>3101</v>
      </c>
    </row>
    <row r="363" spans="1:11" x14ac:dyDescent="0.35">
      <c r="A363" s="328" t="s">
        <v>1052</v>
      </c>
      <c r="B363" t="s">
        <v>1053</v>
      </c>
      <c r="C363" s="328" t="s">
        <v>3821</v>
      </c>
      <c r="D363" s="328" t="str">
        <f t="shared" si="9"/>
        <v>NACE C - 28.2 Manufacture of other general-purpose machinery</v>
      </c>
      <c r="K363" t="s">
        <v>2634</v>
      </c>
    </row>
    <row r="364" spans="1:11" x14ac:dyDescent="0.35">
      <c r="A364" s="329" t="s">
        <v>1054</v>
      </c>
      <c r="B364" t="s">
        <v>1055</v>
      </c>
      <c r="C364" s="325" t="s">
        <v>3822</v>
      </c>
      <c r="D364" s="329" t="str">
        <f t="shared" si="9"/>
        <v>NACE C - 28.21 Manufacture of ovens, furnaces and permanent household heating equipment</v>
      </c>
      <c r="K364" t="s">
        <v>2635</v>
      </c>
    </row>
    <row r="365" spans="1:11" x14ac:dyDescent="0.35">
      <c r="A365" s="329" t="s">
        <v>1056</v>
      </c>
      <c r="B365" t="s">
        <v>1057</v>
      </c>
      <c r="C365" s="328" t="s">
        <v>3823</v>
      </c>
      <c r="D365" s="329" t="str">
        <f t="shared" si="9"/>
        <v>NACE C - 28.22 Manufacture of lifting and handling equipment</v>
      </c>
      <c r="K365" t="s">
        <v>2636</v>
      </c>
    </row>
    <row r="366" spans="1:11" x14ac:dyDescent="0.35">
      <c r="A366" s="329" t="s">
        <v>1058</v>
      </c>
      <c r="B366" t="s">
        <v>1059</v>
      </c>
      <c r="C366" s="328" t="s">
        <v>3824</v>
      </c>
      <c r="D366" s="329" t="str">
        <f t="shared" si="9"/>
        <v>NACE C - 28.23 Manufacture of office machinery and equipment, except computers and peripheral equipment</v>
      </c>
      <c r="K366" t="s">
        <v>2637</v>
      </c>
    </row>
    <row r="367" spans="1:11" x14ac:dyDescent="0.35">
      <c r="A367" s="329" t="s">
        <v>1060</v>
      </c>
      <c r="B367" t="s">
        <v>1061</v>
      </c>
      <c r="C367" s="328" t="s">
        <v>3825</v>
      </c>
      <c r="D367" s="329" t="str">
        <f t="shared" si="9"/>
        <v>NACE C - 28.24 Manufacture of power-driven hand tools</v>
      </c>
      <c r="K367" t="s">
        <v>3102</v>
      </c>
    </row>
    <row r="368" spans="1:11" x14ac:dyDescent="0.35">
      <c r="A368" s="329" t="s">
        <v>1062</v>
      </c>
      <c r="B368" t="s">
        <v>1063</v>
      </c>
      <c r="C368" s="328" t="s">
        <v>3826</v>
      </c>
      <c r="D368" s="329" t="str">
        <f t="shared" si="9"/>
        <v>NACE C - 28.25 Manufacture of non-domestic air conditioning equipment</v>
      </c>
      <c r="K368" t="s">
        <v>2638</v>
      </c>
    </row>
    <row r="369" spans="1:11" x14ac:dyDescent="0.35">
      <c r="A369" s="329" t="s">
        <v>1064</v>
      </c>
      <c r="B369" t="s">
        <v>1065</v>
      </c>
      <c r="C369" s="325" t="s">
        <v>3827</v>
      </c>
      <c r="D369" s="329" t="str">
        <f t="shared" si="9"/>
        <v>NACE C - 28.29 Manufacture of other general-purpose machinery n.e.c.</v>
      </c>
      <c r="K369" t="s">
        <v>2639</v>
      </c>
    </row>
    <row r="370" spans="1:11" x14ac:dyDescent="0.35">
      <c r="A370" s="328" t="s">
        <v>1066</v>
      </c>
      <c r="B370" t="s">
        <v>1067</v>
      </c>
      <c r="C370" s="328" t="s">
        <v>3828</v>
      </c>
      <c r="D370" s="328" t="str">
        <f t="shared" si="9"/>
        <v>NACE C - 28.3 Manufacture of agricultural and forestry machinery</v>
      </c>
      <c r="K370" t="s">
        <v>3103</v>
      </c>
    </row>
    <row r="371" spans="1:11" x14ac:dyDescent="0.35">
      <c r="A371" s="329" t="s">
        <v>1068</v>
      </c>
      <c r="B371" t="s">
        <v>1069</v>
      </c>
      <c r="C371" s="325" t="s">
        <v>3829</v>
      </c>
      <c r="D371" s="329" t="str">
        <f t="shared" si="9"/>
        <v>NACE C - 28.30 Manufacture of agricultural and forestry machinery</v>
      </c>
      <c r="K371" t="s">
        <v>2640</v>
      </c>
    </row>
    <row r="372" spans="1:11" x14ac:dyDescent="0.35">
      <c r="A372" s="328" t="s">
        <v>1070</v>
      </c>
      <c r="B372" t="s">
        <v>1071</v>
      </c>
      <c r="C372" s="328" t="s">
        <v>3830</v>
      </c>
      <c r="D372" s="328" t="str">
        <f t="shared" si="9"/>
        <v>NACE C - 28.4 Manufacture of metal forming machinery and machine tools</v>
      </c>
      <c r="K372" t="s">
        <v>2897</v>
      </c>
    </row>
    <row r="373" spans="1:11" x14ac:dyDescent="0.35">
      <c r="A373" s="329" t="s">
        <v>1072</v>
      </c>
      <c r="B373" t="s">
        <v>1073</v>
      </c>
      <c r="C373" s="328" t="s">
        <v>3831</v>
      </c>
      <c r="D373" s="329" t="str">
        <f t="shared" si="9"/>
        <v>NACE C - 28.41 Manufacture of metal forming machinery and machine tools for metal work</v>
      </c>
      <c r="K373" t="s">
        <v>2641</v>
      </c>
    </row>
    <row r="374" spans="1:11" x14ac:dyDescent="0.35">
      <c r="A374" s="329" t="s">
        <v>1074</v>
      </c>
      <c r="B374" t="s">
        <v>1075</v>
      </c>
      <c r="C374" s="326" t="s">
        <v>3817</v>
      </c>
      <c r="D374" s="329" t="str">
        <f t="shared" si="9"/>
        <v>NACE C - 28.42 Manufacture of other machine tools</v>
      </c>
      <c r="K374" t="s">
        <v>2642</v>
      </c>
    </row>
    <row r="375" spans="1:11" x14ac:dyDescent="0.35">
      <c r="A375" s="328" t="s">
        <v>1076</v>
      </c>
      <c r="B375" t="s">
        <v>1077</v>
      </c>
      <c r="C375" s="325" t="s">
        <v>3833</v>
      </c>
      <c r="D375" s="328" t="str">
        <f t="shared" si="9"/>
        <v>NACE C - 28.9 Manufacture of other special-purpose machinery</v>
      </c>
      <c r="K375" t="s">
        <v>2643</v>
      </c>
    </row>
    <row r="376" spans="1:11" x14ac:dyDescent="0.35">
      <c r="A376" s="329" t="s">
        <v>1078</v>
      </c>
      <c r="B376" t="s">
        <v>1079</v>
      </c>
      <c r="C376" s="328" t="s">
        <v>3834</v>
      </c>
      <c r="D376" s="329" t="str">
        <f t="shared" si="9"/>
        <v>NACE C - 28.91 Manufacture of machinery for metallurgy</v>
      </c>
      <c r="K376" t="s">
        <v>2644</v>
      </c>
    </row>
    <row r="377" spans="1:11" x14ac:dyDescent="0.35">
      <c r="A377" s="329" t="s">
        <v>1080</v>
      </c>
      <c r="B377" t="s">
        <v>1081</v>
      </c>
      <c r="C377" s="328" t="s">
        <v>3835</v>
      </c>
      <c r="D377" s="329" t="str">
        <f t="shared" si="9"/>
        <v>NACE C - 28.92 Manufacture of machinery for mining, quarrying and construction</v>
      </c>
      <c r="K377" t="s">
        <v>3104</v>
      </c>
    </row>
    <row r="378" spans="1:11" x14ac:dyDescent="0.35">
      <c r="A378" s="329" t="s">
        <v>1082</v>
      </c>
      <c r="B378" t="s">
        <v>1083</v>
      </c>
      <c r="C378" s="328" t="s">
        <v>3836</v>
      </c>
      <c r="D378" s="329" t="str">
        <f t="shared" si="9"/>
        <v>NACE C - 28.93 Manufacture of machinery for food, beverage and tobacco processing</v>
      </c>
      <c r="K378" t="s">
        <v>2645</v>
      </c>
    </row>
    <row r="379" spans="1:11" x14ac:dyDescent="0.35">
      <c r="A379" s="329" t="s">
        <v>1084</v>
      </c>
      <c r="B379" t="s">
        <v>1085</v>
      </c>
      <c r="C379" s="325" t="s">
        <v>3837</v>
      </c>
      <c r="D379" s="329" t="str">
        <f t="shared" si="9"/>
        <v>NACE C - 28.94 Manufacture of machinery for textile, apparel and leather production</v>
      </c>
      <c r="K379" t="s">
        <v>2646</v>
      </c>
    </row>
    <row r="380" spans="1:11" x14ac:dyDescent="0.35">
      <c r="A380" s="329" t="s">
        <v>1086</v>
      </c>
      <c r="B380" t="s">
        <v>1087</v>
      </c>
      <c r="C380" s="328" t="s">
        <v>3838</v>
      </c>
      <c r="D380" s="329" t="str">
        <f t="shared" si="9"/>
        <v>NACE C - 28.95 Manufacture of machinery for paper and paperboard production</v>
      </c>
      <c r="K380" t="s">
        <v>2647</v>
      </c>
    </row>
    <row r="381" spans="1:11" x14ac:dyDescent="0.35">
      <c r="A381" s="329" t="s">
        <v>1088</v>
      </c>
      <c r="B381" t="s">
        <v>1089</v>
      </c>
      <c r="C381" s="328" t="s">
        <v>3839</v>
      </c>
      <c r="D381" s="329" t="str">
        <f t="shared" si="9"/>
        <v>NACE C - 28.96 Manufacture of plastics and rubber machinery</v>
      </c>
      <c r="K381" t="s">
        <v>3105</v>
      </c>
    </row>
    <row r="382" spans="1:11" x14ac:dyDescent="0.35">
      <c r="A382" s="329" t="s">
        <v>1090</v>
      </c>
      <c r="B382" t="s">
        <v>1091</v>
      </c>
      <c r="C382" s="328" t="s">
        <v>3840</v>
      </c>
      <c r="D382" s="329" t="str">
        <f t="shared" si="9"/>
        <v>NACE C - 28.97 Manufacture of additive manufacturing machinery</v>
      </c>
      <c r="K382" t="s">
        <v>2648</v>
      </c>
    </row>
    <row r="383" spans="1:11" x14ac:dyDescent="0.35">
      <c r="A383" s="329" t="s">
        <v>1092</v>
      </c>
      <c r="B383" t="s">
        <v>1093</v>
      </c>
      <c r="C383" s="328" t="s">
        <v>3841</v>
      </c>
      <c r="D383" s="329" t="str">
        <f t="shared" si="9"/>
        <v>NACE C - 28.99 Manufacture of other special-purpose machinery n.e.c.</v>
      </c>
      <c r="K383" t="s">
        <v>3106</v>
      </c>
    </row>
    <row r="384" spans="1:11" x14ac:dyDescent="0.35">
      <c r="A384" s="325" t="s">
        <v>1094</v>
      </c>
      <c r="B384" t="s">
        <v>1095</v>
      </c>
      <c r="C384" s="325" t="s">
        <v>3842</v>
      </c>
      <c r="D384" s="325" t="str">
        <f t="shared" si="9"/>
        <v>NACE C - 29 Manufacture of motor vehicles, trailers and semi-trailers</v>
      </c>
      <c r="K384" t="s">
        <v>2649</v>
      </c>
    </row>
    <row r="385" spans="1:11" x14ac:dyDescent="0.35">
      <c r="A385" s="328" t="s">
        <v>1096</v>
      </c>
      <c r="B385" t="s">
        <v>1097</v>
      </c>
      <c r="C385" s="328" t="s">
        <v>3843</v>
      </c>
      <c r="D385" s="328" t="str">
        <f t="shared" si="9"/>
        <v>NACE C - 29.1 Manufacture of motor vehicles</v>
      </c>
      <c r="K385" t="s">
        <v>2650</v>
      </c>
    </row>
    <row r="386" spans="1:11" x14ac:dyDescent="0.35">
      <c r="A386" s="329" t="s">
        <v>1098</v>
      </c>
      <c r="B386" t="s">
        <v>1099</v>
      </c>
      <c r="C386" s="328" t="s">
        <v>3844</v>
      </c>
      <c r="D386" s="329" t="str">
        <f t="shared" ref="D386:D449" si="10">_xlfn.CONCAT("NACE ", A386)</f>
        <v>NACE C - 29.10 Manufacture of motor vehicles</v>
      </c>
      <c r="K386" t="s">
        <v>2898</v>
      </c>
    </row>
    <row r="387" spans="1:11" x14ac:dyDescent="0.35">
      <c r="A387" s="328" t="s">
        <v>1100</v>
      </c>
      <c r="B387" t="s">
        <v>1101</v>
      </c>
      <c r="C387" s="328" t="s">
        <v>3845</v>
      </c>
      <c r="D387" s="328" t="str">
        <f t="shared" si="10"/>
        <v>NACE C - 29.2 Manufacture of bodies and coachwork for motor vehicles; manufacture of trailers and semi-trailers</v>
      </c>
      <c r="K387" t="s">
        <v>3107</v>
      </c>
    </row>
    <row r="388" spans="1:11" x14ac:dyDescent="0.35">
      <c r="A388" s="329" t="s">
        <v>1102</v>
      </c>
      <c r="B388" t="s">
        <v>1103</v>
      </c>
      <c r="C388" s="328" t="s">
        <v>3846</v>
      </c>
      <c r="D388" s="329" t="str">
        <f t="shared" si="10"/>
        <v>NACE C - 29.20 Manufacture of bodies and coachwork for motor vehicles; manufacture of trailers and semi-trailers</v>
      </c>
      <c r="K388" t="s">
        <v>2651</v>
      </c>
    </row>
    <row r="389" spans="1:11" x14ac:dyDescent="0.35">
      <c r="A389" s="328" t="s">
        <v>1104</v>
      </c>
      <c r="B389" t="s">
        <v>1105</v>
      </c>
      <c r="C389" s="328" t="s">
        <v>3847</v>
      </c>
      <c r="D389" s="328" t="str">
        <f t="shared" si="10"/>
        <v>NACE C - 29.3 Manufacture of motor vehicle parts and accessories</v>
      </c>
      <c r="K389" t="s">
        <v>3108</v>
      </c>
    </row>
    <row r="390" spans="1:11" x14ac:dyDescent="0.35">
      <c r="A390" s="329" t="s">
        <v>1106</v>
      </c>
      <c r="B390" t="s">
        <v>1107</v>
      </c>
      <c r="C390" s="326" t="s">
        <v>3832</v>
      </c>
      <c r="D390" s="329" t="str">
        <f t="shared" si="10"/>
        <v>NACE C - 29.31 Manufacture of electrical and electronic equipment for motor vehicles</v>
      </c>
      <c r="K390" t="s">
        <v>2652</v>
      </c>
    </row>
    <row r="391" spans="1:11" x14ac:dyDescent="0.35">
      <c r="A391" s="329" t="s">
        <v>1108</v>
      </c>
      <c r="B391" t="s">
        <v>1109</v>
      </c>
      <c r="C391" s="325" t="s">
        <v>3849</v>
      </c>
      <c r="D391" s="329" t="str">
        <f t="shared" si="10"/>
        <v>NACE C - 29.32 Manufacture of other parts and accessories for motor vehicles</v>
      </c>
      <c r="K391" t="s">
        <v>2653</v>
      </c>
    </row>
    <row r="392" spans="1:11" x14ac:dyDescent="0.35">
      <c r="A392" s="325" t="s">
        <v>1110</v>
      </c>
      <c r="B392" t="s">
        <v>1111</v>
      </c>
      <c r="C392" s="328" t="s">
        <v>3850</v>
      </c>
      <c r="D392" s="325" t="str">
        <f t="shared" si="10"/>
        <v>NACE C - 30 Manufacture of other transport equipment</v>
      </c>
      <c r="K392" t="s">
        <v>3109</v>
      </c>
    </row>
    <row r="393" spans="1:11" x14ac:dyDescent="0.35">
      <c r="A393" s="328" t="s">
        <v>1112</v>
      </c>
      <c r="B393" t="s">
        <v>1113</v>
      </c>
      <c r="C393" s="325" t="s">
        <v>3851</v>
      </c>
      <c r="D393" s="328" t="str">
        <f t="shared" si="10"/>
        <v>NACE C - 30.1 Building of ships and boats</v>
      </c>
      <c r="K393" t="s">
        <v>3110</v>
      </c>
    </row>
    <row r="394" spans="1:11" x14ac:dyDescent="0.35">
      <c r="A394" s="329" t="s">
        <v>1114</v>
      </c>
      <c r="B394" t="s">
        <v>1115</v>
      </c>
      <c r="C394" s="328" t="s">
        <v>3852</v>
      </c>
      <c r="D394" s="329" t="str">
        <f t="shared" si="10"/>
        <v>NACE C - 30.11 Building of civilian ships and floating structures</v>
      </c>
      <c r="K394" t="s">
        <v>3111</v>
      </c>
    </row>
    <row r="395" spans="1:11" x14ac:dyDescent="0.35">
      <c r="A395" s="329" t="s">
        <v>1116</v>
      </c>
      <c r="B395" t="s">
        <v>1117</v>
      </c>
      <c r="C395" s="328" t="s">
        <v>3853</v>
      </c>
      <c r="D395" s="329" t="str">
        <f t="shared" si="10"/>
        <v>NACE C - 30.12 Building of pleasure and sporting boats</v>
      </c>
      <c r="K395" t="s">
        <v>3112</v>
      </c>
    </row>
    <row r="396" spans="1:11" x14ac:dyDescent="0.35">
      <c r="A396" s="329" t="s">
        <v>1118</v>
      </c>
      <c r="B396" t="s">
        <v>1119</v>
      </c>
      <c r="C396" s="326" t="s">
        <v>3848</v>
      </c>
      <c r="D396" s="329" t="str">
        <f t="shared" si="10"/>
        <v>NACE C - 30.13 Building of military ships and vessels</v>
      </c>
      <c r="K396" t="s">
        <v>2654</v>
      </c>
    </row>
    <row r="397" spans="1:11" x14ac:dyDescent="0.35">
      <c r="A397" s="328" t="s">
        <v>1120</v>
      </c>
      <c r="B397" t="s">
        <v>1121</v>
      </c>
      <c r="C397" s="325" t="s">
        <v>3855</v>
      </c>
      <c r="D397" s="328" t="str">
        <f t="shared" si="10"/>
        <v>NACE C - 30.2 Manufacture of railway locomotives and rolling stock</v>
      </c>
      <c r="K397" t="s">
        <v>2655</v>
      </c>
    </row>
    <row r="398" spans="1:11" x14ac:dyDescent="0.35">
      <c r="A398" s="329" t="s">
        <v>1122</v>
      </c>
      <c r="B398" t="s">
        <v>1123</v>
      </c>
      <c r="C398" s="328" t="s">
        <v>3856</v>
      </c>
      <c r="D398" s="329" t="str">
        <f t="shared" si="10"/>
        <v>NACE C - 30.20 Manufacture of railway locomotives and rolling stock</v>
      </c>
      <c r="K398" t="s">
        <v>2656</v>
      </c>
    </row>
    <row r="399" spans="1:11" x14ac:dyDescent="0.35">
      <c r="A399" s="328" t="s">
        <v>1124</v>
      </c>
      <c r="B399" t="s">
        <v>1125</v>
      </c>
      <c r="C399" s="326" t="s">
        <v>3854</v>
      </c>
      <c r="D399" s="328" t="str">
        <f t="shared" si="10"/>
        <v>NACE C - 30.3 Manufacture of air and spacecraft and related machinery</v>
      </c>
      <c r="K399" t="s">
        <v>2657</v>
      </c>
    </row>
    <row r="400" spans="1:11" x14ac:dyDescent="0.35">
      <c r="A400" s="329" t="s">
        <v>1126</v>
      </c>
      <c r="B400" t="s">
        <v>1127</v>
      </c>
      <c r="D400" s="329" t="str">
        <f t="shared" si="10"/>
        <v>NACE C - 30.31 Manufacture of civilian air and spacecraft and related machinery</v>
      </c>
      <c r="K400" t="s">
        <v>3113</v>
      </c>
    </row>
    <row r="401" spans="1:11" x14ac:dyDescent="0.35">
      <c r="A401" s="329" t="s">
        <v>1128</v>
      </c>
      <c r="B401" t="s">
        <v>1129</v>
      </c>
      <c r="C401" s="329"/>
      <c r="D401" s="329" t="str">
        <f t="shared" si="10"/>
        <v>NACE C - 30.32 Manufacture of military air and spacecraft and related machinery</v>
      </c>
      <c r="K401" t="s">
        <v>2658</v>
      </c>
    </row>
    <row r="402" spans="1:11" x14ac:dyDescent="0.35">
      <c r="A402" s="328" t="s">
        <v>1130</v>
      </c>
      <c r="B402" t="s">
        <v>1131</v>
      </c>
      <c r="C402" s="329"/>
      <c r="D402" s="328" t="str">
        <f t="shared" si="10"/>
        <v>NACE C - 30.4 Manufacture of military fighting vehicles</v>
      </c>
      <c r="K402" t="s">
        <v>2659</v>
      </c>
    </row>
    <row r="403" spans="1:11" x14ac:dyDescent="0.35">
      <c r="A403" s="329" t="s">
        <v>1132</v>
      </c>
      <c r="B403" t="s">
        <v>1133</v>
      </c>
      <c r="C403" s="329"/>
      <c r="D403" s="329" t="str">
        <f t="shared" si="10"/>
        <v>NACE C - 30.40 Manufacture of military fighting vehicles</v>
      </c>
      <c r="K403" t="s">
        <v>2899</v>
      </c>
    </row>
    <row r="404" spans="1:11" x14ac:dyDescent="0.35">
      <c r="A404" s="328" t="s">
        <v>1134</v>
      </c>
      <c r="B404" t="s">
        <v>1135</v>
      </c>
      <c r="C404" s="329"/>
      <c r="D404" s="328" t="str">
        <f t="shared" si="10"/>
        <v>NACE C - 30.9 Manufacture of transport equipment n.e.c.</v>
      </c>
      <c r="K404" t="s">
        <v>3114</v>
      </c>
    </row>
    <row r="405" spans="1:11" x14ac:dyDescent="0.35">
      <c r="A405" s="329" t="s">
        <v>1136</v>
      </c>
      <c r="B405" t="s">
        <v>1137</v>
      </c>
      <c r="C405" s="329"/>
      <c r="D405" s="329" t="str">
        <f t="shared" si="10"/>
        <v>NACE C - 30.91 Manufacture of motorcycles</v>
      </c>
      <c r="K405" t="s">
        <v>3115</v>
      </c>
    </row>
    <row r="406" spans="1:11" x14ac:dyDescent="0.35">
      <c r="A406" s="329" t="s">
        <v>1138</v>
      </c>
      <c r="B406" t="s">
        <v>1139</v>
      </c>
      <c r="C406" s="329"/>
      <c r="D406" s="329" t="str">
        <f t="shared" si="10"/>
        <v>NACE C - 30.92 Manufacture of bicycles and invalid carriages</v>
      </c>
      <c r="K406" t="s">
        <v>3116</v>
      </c>
    </row>
    <row r="407" spans="1:11" x14ac:dyDescent="0.35">
      <c r="A407" s="329" t="s">
        <v>1140</v>
      </c>
      <c r="B407" t="s">
        <v>1141</v>
      </c>
      <c r="C407" s="329"/>
      <c r="D407" s="329" t="str">
        <f t="shared" si="10"/>
        <v>NACE C - 30.99 Manufacture of other transport equipment n.e.c.</v>
      </c>
      <c r="K407" t="s">
        <v>3117</v>
      </c>
    </row>
    <row r="408" spans="1:11" x14ac:dyDescent="0.35">
      <c r="A408" s="325" t="s">
        <v>1142</v>
      </c>
      <c r="B408" t="s">
        <v>1143</v>
      </c>
      <c r="C408" s="329"/>
      <c r="D408" s="325" t="str">
        <f t="shared" si="10"/>
        <v>NACE C - 31 Manufacture of furniture</v>
      </c>
      <c r="K408" t="s">
        <v>3118</v>
      </c>
    </row>
    <row r="409" spans="1:11" x14ac:dyDescent="0.35">
      <c r="A409" s="328" t="s">
        <v>1144</v>
      </c>
      <c r="B409" t="s">
        <v>1145</v>
      </c>
      <c r="C409" s="329"/>
      <c r="D409" s="328" t="str">
        <f t="shared" si="10"/>
        <v>NACE C - 31.0 Manufacture of furniture</v>
      </c>
      <c r="K409" t="s">
        <v>3119</v>
      </c>
    </row>
    <row r="410" spans="1:11" x14ac:dyDescent="0.35">
      <c r="A410" s="329" t="s">
        <v>1146</v>
      </c>
      <c r="B410" t="s">
        <v>1147</v>
      </c>
      <c r="C410" s="329"/>
      <c r="D410" s="329" t="str">
        <f t="shared" si="10"/>
        <v>NACE C - 31.00 Manufacture of furniture</v>
      </c>
      <c r="K410" t="s">
        <v>3120</v>
      </c>
    </row>
    <row r="411" spans="1:11" x14ac:dyDescent="0.35">
      <c r="A411" s="325" t="s">
        <v>1148</v>
      </c>
      <c r="B411" t="s">
        <v>1149</v>
      </c>
      <c r="C411" s="329"/>
      <c r="D411" s="325" t="str">
        <f t="shared" si="10"/>
        <v>NACE C - 32 Other manufacturing</v>
      </c>
      <c r="K411" t="s">
        <v>2660</v>
      </c>
    </row>
    <row r="412" spans="1:11" x14ac:dyDescent="0.35">
      <c r="A412" s="328" t="s">
        <v>1150</v>
      </c>
      <c r="B412" t="s">
        <v>1151</v>
      </c>
      <c r="C412" s="329"/>
      <c r="D412" s="328" t="str">
        <f t="shared" si="10"/>
        <v>NACE C - 32.1 Manufacture of jewellery, bijouterie and related articles</v>
      </c>
      <c r="K412" t="s">
        <v>2661</v>
      </c>
    </row>
    <row r="413" spans="1:11" x14ac:dyDescent="0.35">
      <c r="A413" s="329" t="s">
        <v>1152</v>
      </c>
      <c r="B413" t="s">
        <v>1153</v>
      </c>
      <c r="C413" s="329"/>
      <c r="D413" s="329" t="str">
        <f t="shared" si="10"/>
        <v>NACE C - 32.11 Striking of coins</v>
      </c>
      <c r="K413" t="s">
        <v>2900</v>
      </c>
    </row>
    <row r="414" spans="1:11" x14ac:dyDescent="0.35">
      <c r="A414" s="329" t="s">
        <v>1154</v>
      </c>
      <c r="B414" t="s">
        <v>1155</v>
      </c>
      <c r="C414" s="329"/>
      <c r="D414" s="329" t="str">
        <f t="shared" si="10"/>
        <v>NACE C - 32.12 Manufacture of jewellery and related articles</v>
      </c>
      <c r="K414" t="s">
        <v>3121</v>
      </c>
    </row>
    <row r="415" spans="1:11" x14ac:dyDescent="0.35">
      <c r="A415" s="329" t="s">
        <v>1156</v>
      </c>
      <c r="B415" t="s">
        <v>1157</v>
      </c>
      <c r="C415" s="329"/>
      <c r="D415" s="329" t="str">
        <f t="shared" si="10"/>
        <v>NACE C - 32.13 Manufacture of imitation jewellery and related articles</v>
      </c>
      <c r="K415" t="s">
        <v>2662</v>
      </c>
    </row>
    <row r="416" spans="1:11" x14ac:dyDescent="0.35">
      <c r="A416" s="328" t="s">
        <v>1158</v>
      </c>
      <c r="B416" t="s">
        <v>1159</v>
      </c>
      <c r="C416" s="329"/>
      <c r="D416" s="328" t="str">
        <f t="shared" si="10"/>
        <v>NACE C - 32.2 Manufacture of musical instruments</v>
      </c>
      <c r="K416" t="s">
        <v>3122</v>
      </c>
    </row>
    <row r="417" spans="1:11" x14ac:dyDescent="0.35">
      <c r="A417" s="329" t="s">
        <v>1160</v>
      </c>
      <c r="B417" t="s">
        <v>1161</v>
      </c>
      <c r="C417" s="329"/>
      <c r="D417" s="329" t="str">
        <f t="shared" si="10"/>
        <v>NACE C - 32.20 Manufacture of musical instruments</v>
      </c>
      <c r="K417" t="s">
        <v>2663</v>
      </c>
    </row>
    <row r="418" spans="1:11" x14ac:dyDescent="0.35">
      <c r="A418" s="328" t="s">
        <v>1162</v>
      </c>
      <c r="B418" t="s">
        <v>1163</v>
      </c>
      <c r="C418" s="329"/>
      <c r="D418" s="328" t="str">
        <f t="shared" si="10"/>
        <v>NACE C - 32.3 Manufacture of sports goods</v>
      </c>
      <c r="K418" t="s">
        <v>3123</v>
      </c>
    </row>
    <row r="419" spans="1:11" x14ac:dyDescent="0.35">
      <c r="A419" s="329" t="s">
        <v>1164</v>
      </c>
      <c r="B419" t="s">
        <v>1165</v>
      </c>
      <c r="C419" s="329"/>
      <c r="D419" s="329" t="str">
        <f t="shared" si="10"/>
        <v>NACE C - 32.30 Manufacture of sports goods</v>
      </c>
      <c r="K419" t="s">
        <v>3124</v>
      </c>
    </row>
    <row r="420" spans="1:11" x14ac:dyDescent="0.35">
      <c r="A420" s="328" t="s">
        <v>1166</v>
      </c>
      <c r="B420" t="s">
        <v>1167</v>
      </c>
      <c r="C420" s="329"/>
      <c r="D420" s="328" t="str">
        <f t="shared" si="10"/>
        <v>NACE C - 32.4 Manufacture of games and toys</v>
      </c>
      <c r="K420" t="s">
        <v>2664</v>
      </c>
    </row>
    <row r="421" spans="1:11" x14ac:dyDescent="0.35">
      <c r="A421" s="329" t="s">
        <v>1168</v>
      </c>
      <c r="B421" t="s">
        <v>1169</v>
      </c>
      <c r="C421" s="329"/>
      <c r="D421" s="329" t="str">
        <f t="shared" si="10"/>
        <v>NACE C - 32.40 Manufacture of games and toys</v>
      </c>
      <c r="K421" t="s">
        <v>2665</v>
      </c>
    </row>
    <row r="422" spans="1:11" x14ac:dyDescent="0.35">
      <c r="A422" s="328" t="s">
        <v>1170</v>
      </c>
      <c r="B422" t="s">
        <v>1171</v>
      </c>
      <c r="C422" s="329"/>
      <c r="D422" s="328" t="str">
        <f t="shared" si="10"/>
        <v>NACE C - 32.5 Manufacture of medical and dental instruments and supplies</v>
      </c>
      <c r="K422" t="s">
        <v>2901</v>
      </c>
    </row>
    <row r="423" spans="1:11" x14ac:dyDescent="0.35">
      <c r="A423" s="329" t="s">
        <v>1172</v>
      </c>
      <c r="B423" t="s">
        <v>1173</v>
      </c>
      <c r="C423" s="329"/>
      <c r="D423" s="329" t="str">
        <f t="shared" si="10"/>
        <v>NACE C - 32.50 Manufacture of medical and dental instruments and supplies</v>
      </c>
      <c r="K423" t="s">
        <v>2666</v>
      </c>
    </row>
    <row r="424" spans="1:11" x14ac:dyDescent="0.35">
      <c r="A424" s="328" t="s">
        <v>1174</v>
      </c>
      <c r="B424" t="s">
        <v>1175</v>
      </c>
      <c r="C424" s="329"/>
      <c r="D424" s="328" t="str">
        <f t="shared" si="10"/>
        <v>NACE C - 32.9 Manufacturing n.e.c.</v>
      </c>
      <c r="K424" t="s">
        <v>2667</v>
      </c>
    </row>
    <row r="425" spans="1:11" x14ac:dyDescent="0.35">
      <c r="A425" s="329" t="s">
        <v>1176</v>
      </c>
      <c r="B425" t="s">
        <v>1177</v>
      </c>
      <c r="C425" s="329"/>
      <c r="D425" s="329" t="str">
        <f t="shared" si="10"/>
        <v>NACE C - 32.91 Manufacture of brooms and brushes</v>
      </c>
      <c r="K425" t="s">
        <v>3125</v>
      </c>
    </row>
    <row r="426" spans="1:11" x14ac:dyDescent="0.35">
      <c r="A426" s="329" t="s">
        <v>1178</v>
      </c>
      <c r="B426" t="s">
        <v>1179</v>
      </c>
      <c r="C426" s="329"/>
      <c r="D426" s="329" t="str">
        <f t="shared" si="10"/>
        <v>NACE C - 32.99 Other manufacturing n.e.c.</v>
      </c>
      <c r="K426" t="s">
        <v>2668</v>
      </c>
    </row>
    <row r="427" spans="1:11" x14ac:dyDescent="0.35">
      <c r="A427" s="325" t="s">
        <v>1180</v>
      </c>
      <c r="B427" t="s">
        <v>1181</v>
      </c>
      <c r="C427" s="329"/>
      <c r="D427" s="325" t="str">
        <f t="shared" si="10"/>
        <v>NACE C - 33 Repair, maintenance and installation of machinery and equipment</v>
      </c>
      <c r="K427" t="s">
        <v>3126</v>
      </c>
    </row>
    <row r="428" spans="1:11" x14ac:dyDescent="0.35">
      <c r="A428" s="328" t="s">
        <v>1182</v>
      </c>
      <c r="B428" t="s">
        <v>1183</v>
      </c>
      <c r="C428" s="329"/>
      <c r="D428" s="328" t="str">
        <f t="shared" si="10"/>
        <v>NACE C - 33.1 Repair and maintenance of fabricated metal products, machinery and equipment</v>
      </c>
      <c r="K428" t="s">
        <v>3127</v>
      </c>
    </row>
    <row r="429" spans="1:11" x14ac:dyDescent="0.35">
      <c r="A429" s="329" t="s">
        <v>1184</v>
      </c>
      <c r="B429" t="s">
        <v>1185</v>
      </c>
      <c r="C429" s="329"/>
      <c r="D429" s="329" t="str">
        <f t="shared" si="10"/>
        <v>NACE C - 33.11 Repair and maintenance of fabricated metal products</v>
      </c>
      <c r="K429" t="s">
        <v>3128</v>
      </c>
    </row>
    <row r="430" spans="1:11" x14ac:dyDescent="0.35">
      <c r="A430" s="329" t="s">
        <v>1186</v>
      </c>
      <c r="B430" t="s">
        <v>1187</v>
      </c>
      <c r="C430" s="329"/>
      <c r="D430" s="329" t="str">
        <f t="shared" si="10"/>
        <v>NACE C - 33.12 Repair and maintenance of machinery</v>
      </c>
      <c r="K430" t="s">
        <v>2669</v>
      </c>
    </row>
    <row r="431" spans="1:11" x14ac:dyDescent="0.35">
      <c r="A431" s="329" t="s">
        <v>1188</v>
      </c>
      <c r="B431" t="s">
        <v>1189</v>
      </c>
      <c r="C431" s="329"/>
      <c r="D431" s="329" t="str">
        <f t="shared" si="10"/>
        <v>NACE C - 33.13 Repair and maintenance of electronic and optical equipment</v>
      </c>
      <c r="K431" t="s">
        <v>2670</v>
      </c>
    </row>
    <row r="432" spans="1:11" x14ac:dyDescent="0.35">
      <c r="A432" s="329" t="s">
        <v>1190</v>
      </c>
      <c r="B432" t="s">
        <v>1191</v>
      </c>
      <c r="C432" s="329"/>
      <c r="D432" s="329" t="str">
        <f t="shared" si="10"/>
        <v>NACE C - 33.14 Repair and maintenance of electrical equipment</v>
      </c>
      <c r="K432" t="s">
        <v>2902</v>
      </c>
    </row>
    <row r="433" spans="1:11" x14ac:dyDescent="0.35">
      <c r="A433" s="329" t="s">
        <v>1192</v>
      </c>
      <c r="B433" t="s">
        <v>1193</v>
      </c>
      <c r="C433" s="329"/>
      <c r="D433" s="329" t="str">
        <f t="shared" si="10"/>
        <v>NACE C - 33.15 Repair and maintenance of civilian ships and boats</v>
      </c>
      <c r="K433" t="s">
        <v>2671</v>
      </c>
    </row>
    <row r="434" spans="1:11" x14ac:dyDescent="0.35">
      <c r="A434" s="329" t="s">
        <v>1194</v>
      </c>
      <c r="B434" t="s">
        <v>1195</v>
      </c>
      <c r="C434" s="329"/>
      <c r="D434" s="329" t="str">
        <f t="shared" si="10"/>
        <v>NACE C - 33.16 Repair and maintenance of civilian air and spacecraft</v>
      </c>
      <c r="K434" t="s">
        <v>2672</v>
      </c>
    </row>
    <row r="435" spans="1:11" x14ac:dyDescent="0.35">
      <c r="A435" s="329" t="s">
        <v>1196</v>
      </c>
      <c r="B435" t="s">
        <v>1197</v>
      </c>
      <c r="C435" s="329"/>
      <c r="D435" s="329" t="str">
        <f t="shared" si="10"/>
        <v>NACE C - 33.17 Repair and maintenance of other civilian transport equipment</v>
      </c>
      <c r="K435" t="s">
        <v>2673</v>
      </c>
    </row>
    <row r="436" spans="1:11" x14ac:dyDescent="0.35">
      <c r="A436" s="329" t="s">
        <v>1198</v>
      </c>
      <c r="B436" t="s">
        <v>1199</v>
      </c>
      <c r="C436" s="329"/>
      <c r="D436" s="329" t="str">
        <f t="shared" si="10"/>
        <v>NACE C - 33.18 Repair and maintenance of military fighting vehicles, ships, boats, air and spacecraft</v>
      </c>
      <c r="K436" t="s">
        <v>2674</v>
      </c>
    </row>
    <row r="437" spans="1:11" x14ac:dyDescent="0.35">
      <c r="A437" s="329" t="s">
        <v>1200</v>
      </c>
      <c r="B437" t="s">
        <v>1201</v>
      </c>
      <c r="C437" s="329"/>
      <c r="D437" s="329" t="str">
        <f t="shared" si="10"/>
        <v>NACE C - 33.19 Repair and maintenance of other equipment</v>
      </c>
      <c r="K437" t="s">
        <v>2675</v>
      </c>
    </row>
    <row r="438" spans="1:11" x14ac:dyDescent="0.35">
      <c r="A438" s="328" t="s">
        <v>1202</v>
      </c>
      <c r="B438" t="s">
        <v>1203</v>
      </c>
      <c r="C438" s="329"/>
      <c r="D438" s="328" t="str">
        <f t="shared" si="10"/>
        <v>NACE C - 33.2 Installation of industrial machinery and equipment</v>
      </c>
      <c r="K438" t="s">
        <v>2676</v>
      </c>
    </row>
    <row r="439" spans="1:11" x14ac:dyDescent="0.35">
      <c r="A439" s="329" t="s">
        <v>1204</v>
      </c>
      <c r="B439" t="s">
        <v>1205</v>
      </c>
      <c r="C439" s="329"/>
      <c r="D439" s="329" t="str">
        <f t="shared" si="10"/>
        <v>NACE C - 33.20 Installation of industrial machinery and equipment</v>
      </c>
      <c r="K439" t="s">
        <v>2677</v>
      </c>
    </row>
    <row r="440" spans="1:11" x14ac:dyDescent="0.35">
      <c r="A440" s="326" t="s">
        <v>1206</v>
      </c>
      <c r="B440" t="s">
        <v>1207</v>
      </c>
      <c r="C440" s="329"/>
      <c r="D440" s="326" t="str">
        <f t="shared" si="10"/>
        <v>NACE D - ELECTRICITY, GAS, STEAM AND AIR CONDITIONING SUPPLY</v>
      </c>
      <c r="K440" t="s">
        <v>2903</v>
      </c>
    </row>
    <row r="441" spans="1:11" x14ac:dyDescent="0.35">
      <c r="A441" s="325" t="s">
        <v>1208</v>
      </c>
      <c r="B441" t="s">
        <v>1209</v>
      </c>
      <c r="C441" s="329"/>
      <c r="D441" s="325" t="str">
        <f t="shared" si="10"/>
        <v>NACE D - 35 Electricity, gas, steam and air conditioning supply</v>
      </c>
      <c r="K441" t="s">
        <v>2678</v>
      </c>
    </row>
    <row r="442" spans="1:11" x14ac:dyDescent="0.35">
      <c r="A442" s="328" t="s">
        <v>1210</v>
      </c>
      <c r="B442" t="s">
        <v>1211</v>
      </c>
      <c r="C442" s="329"/>
      <c r="D442" s="328" t="str">
        <f t="shared" si="10"/>
        <v>NACE D - 35.1 Electric power generation, transmission and distribution</v>
      </c>
      <c r="K442" t="s">
        <v>2679</v>
      </c>
    </row>
    <row r="443" spans="1:11" x14ac:dyDescent="0.35">
      <c r="A443" s="329" t="s">
        <v>1212</v>
      </c>
      <c r="B443" t="s">
        <v>1213</v>
      </c>
      <c r="C443" s="329"/>
      <c r="D443" s="329" t="str">
        <f t="shared" si="10"/>
        <v>NACE D - 35.11 Production of electricity from non-renewable sources</v>
      </c>
      <c r="K443" t="s">
        <v>2680</v>
      </c>
    </row>
    <row r="444" spans="1:11" x14ac:dyDescent="0.35">
      <c r="A444" s="329" t="s">
        <v>1214</v>
      </c>
      <c r="B444" t="s">
        <v>1215</v>
      </c>
      <c r="C444" s="329"/>
      <c r="D444" s="329" t="str">
        <f t="shared" si="10"/>
        <v>NACE D - 35.12 Production of electricity from renewable sources</v>
      </c>
      <c r="K444" t="s">
        <v>2681</v>
      </c>
    </row>
    <row r="445" spans="1:11" x14ac:dyDescent="0.35">
      <c r="A445" s="329" t="s">
        <v>1216</v>
      </c>
      <c r="B445" t="s">
        <v>1217</v>
      </c>
      <c r="C445" s="329"/>
      <c r="D445" s="329" t="str">
        <f t="shared" si="10"/>
        <v>NACE D - 35.13 Transmission of electricity</v>
      </c>
      <c r="K445" t="s">
        <v>2682</v>
      </c>
    </row>
    <row r="446" spans="1:11" x14ac:dyDescent="0.35">
      <c r="A446" s="329" t="s">
        <v>1218</v>
      </c>
      <c r="B446" t="s">
        <v>1219</v>
      </c>
      <c r="C446" s="329"/>
      <c r="D446" s="329" t="str">
        <f t="shared" si="10"/>
        <v>NACE D - 35.14 Distribution of electricity</v>
      </c>
      <c r="K446" t="s">
        <v>2683</v>
      </c>
    </row>
    <row r="447" spans="1:11" x14ac:dyDescent="0.35">
      <c r="A447" s="329" t="s">
        <v>1220</v>
      </c>
      <c r="B447" t="s">
        <v>1221</v>
      </c>
      <c r="C447" s="329"/>
      <c r="D447" s="329" t="str">
        <f t="shared" si="10"/>
        <v>NACE D - 35.15 Trade of electricity</v>
      </c>
      <c r="K447" t="s">
        <v>2684</v>
      </c>
    </row>
    <row r="448" spans="1:11" x14ac:dyDescent="0.35">
      <c r="A448" s="329" t="s">
        <v>1222</v>
      </c>
      <c r="B448" t="s">
        <v>1223</v>
      </c>
      <c r="C448" s="329"/>
      <c r="D448" s="329" t="str">
        <f t="shared" si="10"/>
        <v>NACE D - 35.16 Storage of electricity</v>
      </c>
      <c r="K448" t="s">
        <v>2685</v>
      </c>
    </row>
    <row r="449" spans="1:11" x14ac:dyDescent="0.35">
      <c r="A449" s="328" t="s">
        <v>1224</v>
      </c>
      <c r="B449" t="s">
        <v>1225</v>
      </c>
      <c r="C449" s="329"/>
      <c r="D449" s="328" t="str">
        <f t="shared" si="10"/>
        <v>NACE D - 35.2 Manufacture of gas, and distribution of gaseous fuels through mains</v>
      </c>
      <c r="K449" t="s">
        <v>2904</v>
      </c>
    </row>
    <row r="450" spans="1:11" x14ac:dyDescent="0.35">
      <c r="A450" s="329" t="s">
        <v>1226</v>
      </c>
      <c r="B450" t="s">
        <v>1227</v>
      </c>
      <c r="C450" s="329"/>
      <c r="D450" s="329" t="str">
        <f t="shared" ref="D450:D513" si="11">_xlfn.CONCAT("NACE ", A450)</f>
        <v>NACE D - 35.21 Manufacture of gas</v>
      </c>
      <c r="K450" t="s">
        <v>2686</v>
      </c>
    </row>
    <row r="451" spans="1:11" x14ac:dyDescent="0.35">
      <c r="A451" s="329" t="s">
        <v>1228</v>
      </c>
      <c r="B451" t="s">
        <v>1229</v>
      </c>
      <c r="C451" s="329"/>
      <c r="D451" s="329" t="str">
        <f t="shared" si="11"/>
        <v>NACE D - 35.22 Distribution of gaseous fuels through mains</v>
      </c>
      <c r="K451" t="s">
        <v>2687</v>
      </c>
    </row>
    <row r="452" spans="1:11" x14ac:dyDescent="0.35">
      <c r="A452" s="329" t="s">
        <v>1230</v>
      </c>
      <c r="B452" t="s">
        <v>1231</v>
      </c>
      <c r="C452" s="329"/>
      <c r="D452" s="329" t="str">
        <f t="shared" si="11"/>
        <v>NACE D - 35.23 Trade of gas through mains</v>
      </c>
      <c r="K452" t="s">
        <v>2688</v>
      </c>
    </row>
    <row r="453" spans="1:11" x14ac:dyDescent="0.35">
      <c r="A453" s="329" t="s">
        <v>1232</v>
      </c>
      <c r="B453" t="s">
        <v>1233</v>
      </c>
      <c r="C453" s="329"/>
      <c r="D453" s="329" t="str">
        <f t="shared" si="11"/>
        <v>NACE D - 35.24 Storage of gas as part of network supply services</v>
      </c>
      <c r="K453" t="s">
        <v>2689</v>
      </c>
    </row>
    <row r="454" spans="1:11" x14ac:dyDescent="0.35">
      <c r="A454" s="328" t="s">
        <v>1234</v>
      </c>
      <c r="B454" t="s">
        <v>1235</v>
      </c>
      <c r="C454" s="329"/>
      <c r="D454" s="328" t="str">
        <f t="shared" si="11"/>
        <v>NACE D - 35.3 Steam and air conditioning supply</v>
      </c>
      <c r="K454" t="s">
        <v>2690</v>
      </c>
    </row>
    <row r="455" spans="1:11" x14ac:dyDescent="0.35">
      <c r="A455" s="329" t="s">
        <v>1236</v>
      </c>
      <c r="B455" t="s">
        <v>1237</v>
      </c>
      <c r="C455" s="329"/>
      <c r="D455" s="329" t="str">
        <f t="shared" si="11"/>
        <v>NACE D - 35.30 Steam and air conditioning supply</v>
      </c>
      <c r="K455" t="s">
        <v>2905</v>
      </c>
    </row>
    <row r="456" spans="1:11" x14ac:dyDescent="0.35">
      <c r="A456" s="328" t="s">
        <v>1238</v>
      </c>
      <c r="B456" t="s">
        <v>1239</v>
      </c>
      <c r="C456" s="329"/>
      <c r="D456" s="328" t="str">
        <f t="shared" si="11"/>
        <v>NACE D - 35.4 Activities of brokers and agents for electric power and natural gas</v>
      </c>
      <c r="K456" t="s">
        <v>2691</v>
      </c>
    </row>
    <row r="457" spans="1:11" x14ac:dyDescent="0.35">
      <c r="A457" s="329" t="s">
        <v>1240</v>
      </c>
      <c r="B457" t="s">
        <v>1241</v>
      </c>
      <c r="C457" s="329"/>
      <c r="D457" s="329" t="str">
        <f t="shared" si="11"/>
        <v>NACE D - 35.40 Activities of brokers and agents for electric power and natural gas</v>
      </c>
      <c r="K457" t="s">
        <v>2692</v>
      </c>
    </row>
    <row r="458" spans="1:11" x14ac:dyDescent="0.35">
      <c r="A458" s="326" t="s">
        <v>1242</v>
      </c>
      <c r="B458" t="s">
        <v>1243</v>
      </c>
      <c r="C458" s="329"/>
      <c r="D458" s="326" t="str">
        <f t="shared" si="11"/>
        <v>NACE E - WATER SUPPLY; SEWERAGE, WASTE MANAGEMENT AND REMEDIATION ACTIVITIES</v>
      </c>
      <c r="K458" t="s">
        <v>2693</v>
      </c>
    </row>
    <row r="459" spans="1:11" x14ac:dyDescent="0.35">
      <c r="A459" s="325" t="s">
        <v>1244</v>
      </c>
      <c r="B459" t="s">
        <v>1245</v>
      </c>
      <c r="C459" s="329"/>
      <c r="D459" s="325" t="str">
        <f t="shared" si="11"/>
        <v>NACE E - 36 Water collection, treatment and supply</v>
      </c>
      <c r="K459" t="s">
        <v>2694</v>
      </c>
    </row>
    <row r="460" spans="1:11" x14ac:dyDescent="0.35">
      <c r="A460" s="328" t="s">
        <v>1246</v>
      </c>
      <c r="B460" t="s">
        <v>1247</v>
      </c>
      <c r="C460" s="329"/>
      <c r="D460" s="328" t="str">
        <f t="shared" si="11"/>
        <v>NACE E - 36.0 Water collection, treatment and supply</v>
      </c>
      <c r="K460" t="s">
        <v>2695</v>
      </c>
    </row>
    <row r="461" spans="1:11" x14ac:dyDescent="0.35">
      <c r="A461" s="329" t="s">
        <v>1248</v>
      </c>
      <c r="B461" t="s">
        <v>1249</v>
      </c>
      <c r="C461" s="329"/>
      <c r="D461" s="329" t="str">
        <f t="shared" si="11"/>
        <v>NACE E - 36.00 Water collection, treatment and supply</v>
      </c>
      <c r="K461" t="s">
        <v>2906</v>
      </c>
    </row>
    <row r="462" spans="1:11" x14ac:dyDescent="0.35">
      <c r="A462" s="325" t="s">
        <v>1250</v>
      </c>
      <c r="B462" t="s">
        <v>1251</v>
      </c>
      <c r="C462" s="329"/>
      <c r="D462" s="325" t="str">
        <f t="shared" si="11"/>
        <v>NACE E - 37 Sewerage</v>
      </c>
      <c r="K462" t="s">
        <v>2696</v>
      </c>
    </row>
    <row r="463" spans="1:11" x14ac:dyDescent="0.35">
      <c r="A463" s="328" t="s">
        <v>1252</v>
      </c>
      <c r="B463" t="s">
        <v>1253</v>
      </c>
      <c r="C463" s="329"/>
      <c r="D463" s="328" t="str">
        <f t="shared" si="11"/>
        <v>NACE E - 37.0 Sewerage</v>
      </c>
      <c r="K463" t="s">
        <v>2697</v>
      </c>
    </row>
    <row r="464" spans="1:11" x14ac:dyDescent="0.35">
      <c r="A464" s="329" t="s">
        <v>1254</v>
      </c>
      <c r="B464" t="s">
        <v>1255</v>
      </c>
      <c r="C464" s="329"/>
      <c r="D464" s="329" t="str">
        <f t="shared" si="11"/>
        <v>NACE E - 37.00 Sewerage</v>
      </c>
      <c r="K464" t="s">
        <v>2698</v>
      </c>
    </row>
    <row r="465" spans="1:11" x14ac:dyDescent="0.35">
      <c r="A465" s="325" t="s">
        <v>1256</v>
      </c>
      <c r="B465" t="s">
        <v>1257</v>
      </c>
      <c r="C465" s="329"/>
      <c r="D465" s="325" t="str">
        <f t="shared" si="11"/>
        <v>NACE E - 38 Waste collection, recovery and disposal activities</v>
      </c>
      <c r="K465" t="s">
        <v>2699</v>
      </c>
    </row>
    <row r="466" spans="1:11" x14ac:dyDescent="0.35">
      <c r="A466" s="328" t="s">
        <v>1258</v>
      </c>
      <c r="B466" t="s">
        <v>1259</v>
      </c>
      <c r="C466" s="329"/>
      <c r="D466" s="328" t="str">
        <f t="shared" si="11"/>
        <v>NACE E - 38.1 Waste collection</v>
      </c>
      <c r="K466" t="s">
        <v>2700</v>
      </c>
    </row>
    <row r="467" spans="1:11" x14ac:dyDescent="0.35">
      <c r="A467" s="329" t="s">
        <v>1260</v>
      </c>
      <c r="B467" t="s">
        <v>1261</v>
      </c>
      <c r="C467" s="329"/>
      <c r="D467" s="329" t="str">
        <f t="shared" si="11"/>
        <v>NACE E - 38.11 Collection of non-hazardous waste</v>
      </c>
      <c r="K467" t="s">
        <v>2701</v>
      </c>
    </row>
    <row r="468" spans="1:11" x14ac:dyDescent="0.35">
      <c r="A468" s="329" t="s">
        <v>1262</v>
      </c>
      <c r="B468" t="s">
        <v>1263</v>
      </c>
      <c r="C468" s="329"/>
      <c r="D468" s="329" t="str">
        <f t="shared" si="11"/>
        <v>NACE E - 38.12 Collection of hazardous waste</v>
      </c>
      <c r="K468" t="s">
        <v>2702</v>
      </c>
    </row>
    <row r="469" spans="1:11" x14ac:dyDescent="0.35">
      <c r="A469" s="328" t="s">
        <v>1264</v>
      </c>
      <c r="B469" t="s">
        <v>1265</v>
      </c>
      <c r="C469" s="329"/>
      <c r="D469" s="328" t="str">
        <f t="shared" si="11"/>
        <v>NACE E - 38.2 Waste recovery</v>
      </c>
      <c r="K469" t="s">
        <v>2703</v>
      </c>
    </row>
    <row r="470" spans="1:11" x14ac:dyDescent="0.35">
      <c r="A470" s="329" t="s">
        <v>1266</v>
      </c>
      <c r="B470" t="s">
        <v>1267</v>
      </c>
      <c r="C470" s="329"/>
      <c r="D470" s="329" t="str">
        <f t="shared" si="11"/>
        <v>NACE E - 38.21 Materials recovery</v>
      </c>
      <c r="K470" t="s">
        <v>2704</v>
      </c>
    </row>
    <row r="471" spans="1:11" x14ac:dyDescent="0.35">
      <c r="A471" s="329" t="s">
        <v>1268</v>
      </c>
      <c r="B471" t="s">
        <v>1269</v>
      </c>
      <c r="C471" s="329"/>
      <c r="D471" s="329" t="str">
        <f t="shared" si="11"/>
        <v>NACE E - 38.22 Energy recovery</v>
      </c>
      <c r="K471" t="s">
        <v>2907</v>
      </c>
    </row>
    <row r="472" spans="1:11" x14ac:dyDescent="0.35">
      <c r="A472" s="329" t="s">
        <v>1270</v>
      </c>
      <c r="B472" t="s">
        <v>1271</v>
      </c>
      <c r="C472" s="329"/>
      <c r="D472" s="329" t="str">
        <f t="shared" si="11"/>
        <v>NACE E - 38.23 Other waste recovery</v>
      </c>
      <c r="K472" t="s">
        <v>2705</v>
      </c>
    </row>
    <row r="473" spans="1:11" x14ac:dyDescent="0.35">
      <c r="A473" s="328" t="s">
        <v>1272</v>
      </c>
      <c r="B473" t="s">
        <v>1273</v>
      </c>
      <c r="C473" s="329"/>
      <c r="D473" s="328" t="str">
        <f t="shared" si="11"/>
        <v>NACE E - 38.3 Waste disposal without recovery</v>
      </c>
      <c r="K473" t="s">
        <v>2706</v>
      </c>
    </row>
    <row r="474" spans="1:11" x14ac:dyDescent="0.35">
      <c r="A474" s="329" t="s">
        <v>1274</v>
      </c>
      <c r="B474" t="s">
        <v>1275</v>
      </c>
      <c r="C474" s="329"/>
      <c r="D474" s="329" t="str">
        <f t="shared" si="11"/>
        <v>NACE E - 38.31 Incineration without energy recovery</v>
      </c>
      <c r="K474" t="s">
        <v>2707</v>
      </c>
    </row>
    <row r="475" spans="1:11" x14ac:dyDescent="0.35">
      <c r="A475" s="329" t="s">
        <v>1276</v>
      </c>
      <c r="B475" t="s">
        <v>1277</v>
      </c>
      <c r="C475" s="329"/>
      <c r="D475" s="329" t="str">
        <f t="shared" si="11"/>
        <v>NACE E - 38.32 Landfilling or permanent storage</v>
      </c>
      <c r="K475" t="s">
        <v>2708</v>
      </c>
    </row>
    <row r="476" spans="1:11" x14ac:dyDescent="0.35">
      <c r="A476" s="329" t="s">
        <v>1278</v>
      </c>
      <c r="B476" t="s">
        <v>1279</v>
      </c>
      <c r="C476" s="329"/>
      <c r="D476" s="329" t="str">
        <f t="shared" si="11"/>
        <v>NACE E - 38.33 Other waste disposal</v>
      </c>
      <c r="K476" t="s">
        <v>2709</v>
      </c>
    </row>
    <row r="477" spans="1:11" x14ac:dyDescent="0.35">
      <c r="A477" s="325" t="s">
        <v>1280</v>
      </c>
      <c r="B477" t="s">
        <v>1281</v>
      </c>
      <c r="C477" s="329"/>
      <c r="D477" s="325" t="str">
        <f t="shared" si="11"/>
        <v>NACE E - 39 Remediation activities and other waste management service activities</v>
      </c>
      <c r="K477" t="s">
        <v>2710</v>
      </c>
    </row>
    <row r="478" spans="1:11" x14ac:dyDescent="0.35">
      <c r="A478" s="328" t="s">
        <v>1282</v>
      </c>
      <c r="B478" t="s">
        <v>1283</v>
      </c>
      <c r="C478" s="329"/>
      <c r="D478" s="328" t="str">
        <f t="shared" si="11"/>
        <v>NACE E - 39.0 Remediation activities and other waste management service activities</v>
      </c>
      <c r="K478" t="s">
        <v>2711</v>
      </c>
    </row>
    <row r="479" spans="1:11" x14ac:dyDescent="0.35">
      <c r="A479" s="329" t="s">
        <v>1284</v>
      </c>
      <c r="B479" t="s">
        <v>1285</v>
      </c>
      <c r="C479" s="329"/>
      <c r="D479" s="329" t="str">
        <f t="shared" si="11"/>
        <v>NACE E - 39.00 Remediation activities and other waste management service activities</v>
      </c>
      <c r="K479" t="s">
        <v>2712</v>
      </c>
    </row>
    <row r="480" spans="1:11" x14ac:dyDescent="0.35">
      <c r="A480" s="326" t="s">
        <v>1286</v>
      </c>
      <c r="B480" t="s">
        <v>1287</v>
      </c>
      <c r="C480" s="329"/>
      <c r="D480" s="326" t="str">
        <f t="shared" si="11"/>
        <v>NACE F - CONSTRUCTION</v>
      </c>
      <c r="K480" t="s">
        <v>2908</v>
      </c>
    </row>
    <row r="481" spans="1:11" x14ac:dyDescent="0.35">
      <c r="A481" s="325" t="s">
        <v>1288</v>
      </c>
      <c r="B481" t="s">
        <v>1289</v>
      </c>
      <c r="C481" s="329"/>
      <c r="D481" s="325" t="str">
        <f t="shared" si="11"/>
        <v>NACE F - 41 Construction of residential and non-residential buildings</v>
      </c>
      <c r="K481" t="s">
        <v>2713</v>
      </c>
    </row>
    <row r="482" spans="1:11" x14ac:dyDescent="0.35">
      <c r="A482" s="328" t="s">
        <v>1290</v>
      </c>
      <c r="B482" t="s">
        <v>1291</v>
      </c>
      <c r="C482" s="329"/>
      <c r="D482" s="328" t="str">
        <f t="shared" si="11"/>
        <v>NACE F - 41.0 Construction of residential and non-residential buildings</v>
      </c>
      <c r="K482" t="s">
        <v>2714</v>
      </c>
    </row>
    <row r="483" spans="1:11" x14ac:dyDescent="0.35">
      <c r="A483" s="329" t="s">
        <v>1292</v>
      </c>
      <c r="B483" t="s">
        <v>1293</v>
      </c>
      <c r="C483" s="329"/>
      <c r="D483" s="329" t="str">
        <f t="shared" si="11"/>
        <v>NACE F - 41.00 Construction of residential and non-residential buildings</v>
      </c>
      <c r="K483" t="s">
        <v>2715</v>
      </c>
    </row>
    <row r="484" spans="1:11" x14ac:dyDescent="0.35">
      <c r="A484" s="325" t="s">
        <v>1294</v>
      </c>
      <c r="B484" t="s">
        <v>1295</v>
      </c>
      <c r="C484" s="329"/>
      <c r="D484" s="325" t="str">
        <f t="shared" si="11"/>
        <v>NACE F - 42 Civil engineering</v>
      </c>
      <c r="K484" t="s">
        <v>2716</v>
      </c>
    </row>
    <row r="485" spans="1:11" x14ac:dyDescent="0.35">
      <c r="A485" s="328" t="s">
        <v>1296</v>
      </c>
      <c r="B485" t="s">
        <v>1297</v>
      </c>
      <c r="C485" s="329"/>
      <c r="D485" s="328" t="str">
        <f t="shared" si="11"/>
        <v>NACE F - 42.1 Construction of roads and railways</v>
      </c>
      <c r="K485" t="s">
        <v>2717</v>
      </c>
    </row>
    <row r="486" spans="1:11" x14ac:dyDescent="0.35">
      <c r="A486" s="329" t="s">
        <v>1298</v>
      </c>
      <c r="B486" t="s">
        <v>1299</v>
      </c>
      <c r="C486" s="329"/>
      <c r="D486" s="329" t="str">
        <f t="shared" si="11"/>
        <v>NACE F - 42.11 Construction of roads and motorways</v>
      </c>
      <c r="K486" t="s">
        <v>2718</v>
      </c>
    </row>
    <row r="487" spans="1:11" x14ac:dyDescent="0.35">
      <c r="A487" s="329" t="s">
        <v>1300</v>
      </c>
      <c r="B487" t="s">
        <v>1301</v>
      </c>
      <c r="C487" s="329"/>
      <c r="D487" s="329" t="str">
        <f t="shared" si="11"/>
        <v>NACE F - 42.12 Construction of railways and underground railways</v>
      </c>
      <c r="K487" t="s">
        <v>2719</v>
      </c>
    </row>
    <row r="488" spans="1:11" x14ac:dyDescent="0.35">
      <c r="A488" s="329" t="s">
        <v>1302</v>
      </c>
      <c r="B488" t="s">
        <v>1303</v>
      </c>
      <c r="C488" s="329"/>
      <c r="D488" s="329" t="str">
        <f t="shared" si="11"/>
        <v>NACE F - 42.13 Construction of bridges and tunnels</v>
      </c>
      <c r="K488" t="s">
        <v>2720</v>
      </c>
    </row>
    <row r="489" spans="1:11" x14ac:dyDescent="0.35">
      <c r="A489" s="328" t="s">
        <v>1304</v>
      </c>
      <c r="B489" t="s">
        <v>1305</v>
      </c>
      <c r="C489" s="329"/>
      <c r="D489" s="328" t="str">
        <f t="shared" si="11"/>
        <v>NACE F - 42.2 Construction of utility projects</v>
      </c>
      <c r="K489" t="s">
        <v>2721</v>
      </c>
    </row>
    <row r="490" spans="1:11" x14ac:dyDescent="0.35">
      <c r="A490" s="329" t="s">
        <v>1306</v>
      </c>
      <c r="B490" t="s">
        <v>1307</v>
      </c>
      <c r="C490" s="329"/>
      <c r="D490" s="329" t="str">
        <f t="shared" si="11"/>
        <v>NACE F - 42.21 Construction of utility projects for fluids</v>
      </c>
      <c r="K490" t="s">
        <v>2449</v>
      </c>
    </row>
    <row r="491" spans="1:11" x14ac:dyDescent="0.35">
      <c r="A491" s="329" t="s">
        <v>1308</v>
      </c>
      <c r="B491" t="s">
        <v>1309</v>
      </c>
      <c r="C491" s="329"/>
      <c r="D491" s="329" t="str">
        <f t="shared" si="11"/>
        <v>NACE F - 42.22 Construction of utility projects for electricity and telecommunications</v>
      </c>
      <c r="K491" t="s">
        <v>2909</v>
      </c>
    </row>
    <row r="492" spans="1:11" x14ac:dyDescent="0.35">
      <c r="A492" s="328" t="s">
        <v>1310</v>
      </c>
      <c r="B492" t="s">
        <v>1311</v>
      </c>
      <c r="C492" s="329"/>
      <c r="D492" s="328" t="str">
        <f t="shared" si="11"/>
        <v>NACE F - 42.9 Construction of other civil engineering projects</v>
      </c>
      <c r="K492" t="s">
        <v>3129</v>
      </c>
    </row>
    <row r="493" spans="1:11" x14ac:dyDescent="0.35">
      <c r="A493" s="329" t="s">
        <v>1312</v>
      </c>
      <c r="B493" t="s">
        <v>1313</v>
      </c>
      <c r="C493" s="329"/>
      <c r="D493" s="329" t="str">
        <f t="shared" si="11"/>
        <v>NACE F - 42.91 Construction of water projects</v>
      </c>
      <c r="K493" t="s">
        <v>3130</v>
      </c>
    </row>
    <row r="494" spans="1:11" x14ac:dyDescent="0.35">
      <c r="A494" s="329" t="s">
        <v>1314</v>
      </c>
      <c r="B494" t="s">
        <v>1315</v>
      </c>
      <c r="C494" s="329"/>
      <c r="D494" s="329" t="str">
        <f t="shared" si="11"/>
        <v>NACE F - 42.99 Construction of other civil engineering projects n.e.c.</v>
      </c>
      <c r="K494" t="s">
        <v>3131</v>
      </c>
    </row>
    <row r="495" spans="1:11" x14ac:dyDescent="0.35">
      <c r="A495" s="325" t="s">
        <v>1316</v>
      </c>
      <c r="B495" t="s">
        <v>1317</v>
      </c>
      <c r="C495" s="329"/>
      <c r="D495" s="325" t="str">
        <f t="shared" si="11"/>
        <v>NACE F - 43 Specialised construction activities</v>
      </c>
      <c r="K495" t="s">
        <v>2722</v>
      </c>
    </row>
    <row r="496" spans="1:11" x14ac:dyDescent="0.35">
      <c r="A496" s="328" t="s">
        <v>1318</v>
      </c>
      <c r="B496" t="s">
        <v>1319</v>
      </c>
      <c r="C496" s="329"/>
      <c r="D496" s="328" t="str">
        <f t="shared" si="11"/>
        <v>NACE F - 43.1 Demolition and site preparation</v>
      </c>
      <c r="K496" t="s">
        <v>3132</v>
      </c>
    </row>
    <row r="497" spans="1:11" x14ac:dyDescent="0.35">
      <c r="A497" s="329" t="s">
        <v>1320</v>
      </c>
      <c r="B497" t="s">
        <v>1321</v>
      </c>
      <c r="C497" s="329"/>
      <c r="D497" s="329" t="str">
        <f t="shared" si="11"/>
        <v>NACE F - 43.11 Demolition</v>
      </c>
      <c r="K497" t="s">
        <v>3133</v>
      </c>
    </row>
    <row r="498" spans="1:11" x14ac:dyDescent="0.35">
      <c r="A498" s="329" t="s">
        <v>1322</v>
      </c>
      <c r="B498" t="s">
        <v>1323</v>
      </c>
      <c r="C498" s="329"/>
      <c r="D498" s="329" t="str">
        <f t="shared" si="11"/>
        <v>NACE F - 43.12 Site preparation</v>
      </c>
      <c r="K498" t="s">
        <v>3134</v>
      </c>
    </row>
    <row r="499" spans="1:11" x14ac:dyDescent="0.35">
      <c r="A499" s="329" t="s">
        <v>1324</v>
      </c>
      <c r="B499" t="s">
        <v>1325</v>
      </c>
      <c r="C499" s="329"/>
      <c r="D499" s="329" t="str">
        <f t="shared" si="11"/>
        <v>NACE F - 43.13 Test drilling and boring</v>
      </c>
      <c r="K499" t="s">
        <v>3135</v>
      </c>
    </row>
    <row r="500" spans="1:11" x14ac:dyDescent="0.35">
      <c r="A500" s="328" t="s">
        <v>1326</v>
      </c>
      <c r="B500" t="s">
        <v>1327</v>
      </c>
      <c r="C500" s="329"/>
      <c r="D500" s="328" t="str">
        <f t="shared" si="11"/>
        <v>NACE F - 43.2 Electrical, plumbing and other construction installation activities</v>
      </c>
      <c r="K500" t="s">
        <v>2910</v>
      </c>
    </row>
    <row r="501" spans="1:11" x14ac:dyDescent="0.35">
      <c r="A501" s="329" t="s">
        <v>1328</v>
      </c>
      <c r="B501" t="s">
        <v>1329</v>
      </c>
      <c r="C501" s="329"/>
      <c r="D501" s="329" t="str">
        <f t="shared" si="11"/>
        <v>NACE F - 43.21 Electrical installation</v>
      </c>
      <c r="K501" t="s">
        <v>2723</v>
      </c>
    </row>
    <row r="502" spans="1:11" x14ac:dyDescent="0.35">
      <c r="A502" s="329" t="s">
        <v>1330</v>
      </c>
      <c r="B502" t="s">
        <v>1331</v>
      </c>
      <c r="C502" s="329"/>
      <c r="D502" s="329" t="str">
        <f t="shared" si="11"/>
        <v>NACE F - 43.22 Plumbing, heat and air-conditioning installation</v>
      </c>
      <c r="K502" t="s">
        <v>3136</v>
      </c>
    </row>
    <row r="503" spans="1:11" x14ac:dyDescent="0.35">
      <c r="A503" s="329" t="s">
        <v>1332</v>
      </c>
      <c r="B503" t="s">
        <v>1333</v>
      </c>
      <c r="C503" s="329"/>
      <c r="D503" s="329" t="str">
        <f t="shared" si="11"/>
        <v>NACE F - 43.23 Installation of insulation</v>
      </c>
      <c r="K503" t="s">
        <v>2724</v>
      </c>
    </row>
    <row r="504" spans="1:11" x14ac:dyDescent="0.35">
      <c r="A504" s="329" t="s">
        <v>1334</v>
      </c>
      <c r="B504" t="s">
        <v>1335</v>
      </c>
      <c r="C504" s="329"/>
      <c r="D504" s="329" t="str">
        <f t="shared" si="11"/>
        <v>NACE F - 43.24 Other construction installation</v>
      </c>
      <c r="K504" t="s">
        <v>2725</v>
      </c>
    </row>
    <row r="505" spans="1:11" x14ac:dyDescent="0.35">
      <c r="A505" s="328" t="s">
        <v>1336</v>
      </c>
      <c r="B505" t="s">
        <v>1337</v>
      </c>
      <c r="C505" s="329"/>
      <c r="D505" s="328" t="str">
        <f t="shared" si="11"/>
        <v>NACE F - 43.3 Building completion and finishing</v>
      </c>
      <c r="K505" t="s">
        <v>2911</v>
      </c>
    </row>
    <row r="506" spans="1:11" x14ac:dyDescent="0.35">
      <c r="A506" s="329" t="s">
        <v>1338</v>
      </c>
      <c r="B506" t="s">
        <v>1339</v>
      </c>
      <c r="C506" s="329"/>
      <c r="D506" s="329" t="str">
        <f t="shared" si="11"/>
        <v>NACE F - 43.31 Plastering</v>
      </c>
      <c r="K506" t="s">
        <v>3137</v>
      </c>
    </row>
    <row r="507" spans="1:11" x14ac:dyDescent="0.35">
      <c r="A507" s="329" t="s">
        <v>1340</v>
      </c>
      <c r="B507" t="s">
        <v>1341</v>
      </c>
      <c r="C507" s="329"/>
      <c r="D507" s="329" t="str">
        <f t="shared" si="11"/>
        <v>NACE F - 43.32 Joinery installation</v>
      </c>
      <c r="K507" t="s">
        <v>3138</v>
      </c>
    </row>
    <row r="508" spans="1:11" x14ac:dyDescent="0.35">
      <c r="A508" s="329" t="s">
        <v>1342</v>
      </c>
      <c r="B508" t="s">
        <v>1343</v>
      </c>
      <c r="C508" s="329"/>
      <c r="D508" s="329" t="str">
        <f t="shared" si="11"/>
        <v>NACE F - 43.33 Floor and wall covering</v>
      </c>
      <c r="K508" t="s">
        <v>2912</v>
      </c>
    </row>
    <row r="509" spans="1:11" x14ac:dyDescent="0.35">
      <c r="A509" s="329" t="s">
        <v>1344</v>
      </c>
      <c r="B509" t="s">
        <v>1345</v>
      </c>
      <c r="C509" s="329"/>
      <c r="D509" s="329" t="str">
        <f t="shared" si="11"/>
        <v>NACE F - 43.34 Painting and glazing</v>
      </c>
      <c r="K509" t="s">
        <v>2726</v>
      </c>
    </row>
    <row r="510" spans="1:11" x14ac:dyDescent="0.35">
      <c r="A510" s="329" t="s">
        <v>1346</v>
      </c>
      <c r="B510" t="s">
        <v>1347</v>
      </c>
      <c r="C510" s="329"/>
      <c r="D510" s="329" t="str">
        <f t="shared" si="11"/>
        <v>NACE F - 43.35 Other building completion and finishing</v>
      </c>
      <c r="K510" t="s">
        <v>2450</v>
      </c>
    </row>
    <row r="511" spans="1:11" x14ac:dyDescent="0.35">
      <c r="A511" s="328" t="s">
        <v>1348</v>
      </c>
      <c r="B511" t="s">
        <v>1349</v>
      </c>
      <c r="C511" s="329"/>
      <c r="D511" s="328" t="str">
        <f t="shared" si="11"/>
        <v>NACE F - 43.4 Specialised construction activities in construction of buildings</v>
      </c>
      <c r="K511" t="s">
        <v>2913</v>
      </c>
    </row>
    <row r="512" spans="1:11" x14ac:dyDescent="0.35">
      <c r="A512" s="329" t="s">
        <v>1350</v>
      </c>
      <c r="B512" t="s">
        <v>1351</v>
      </c>
      <c r="C512" s="329"/>
      <c r="D512" s="329" t="str">
        <f t="shared" si="11"/>
        <v>NACE F - 43.41 Roofing activities</v>
      </c>
      <c r="K512" t="s">
        <v>2727</v>
      </c>
    </row>
    <row r="513" spans="1:11" x14ac:dyDescent="0.35">
      <c r="A513" s="329" t="s">
        <v>1352</v>
      </c>
      <c r="B513" t="s">
        <v>1353</v>
      </c>
      <c r="C513" s="329"/>
      <c r="D513" s="329" t="str">
        <f t="shared" si="11"/>
        <v>NACE F - 43.42 Other specialised construction activities in construction of buildings</v>
      </c>
      <c r="K513" t="s">
        <v>2728</v>
      </c>
    </row>
    <row r="514" spans="1:11" x14ac:dyDescent="0.35">
      <c r="A514" s="328" t="s">
        <v>1354</v>
      </c>
      <c r="B514" t="s">
        <v>1355</v>
      </c>
      <c r="C514" s="329"/>
      <c r="D514" s="328" t="str">
        <f t="shared" ref="D514:D577" si="12">_xlfn.CONCAT("NACE ", A514)</f>
        <v>NACE F - 43.5 Specialised construction activities in civil engineering</v>
      </c>
      <c r="K514" t="s">
        <v>2729</v>
      </c>
    </row>
    <row r="515" spans="1:11" x14ac:dyDescent="0.35">
      <c r="A515" s="329" t="s">
        <v>1356</v>
      </c>
      <c r="B515" t="s">
        <v>1357</v>
      </c>
      <c r="C515" s="329"/>
      <c r="D515" s="329" t="str">
        <f t="shared" si="12"/>
        <v>NACE F - 43.50 Specialised construction activities in civil engineering</v>
      </c>
      <c r="K515" t="s">
        <v>2730</v>
      </c>
    </row>
    <row r="516" spans="1:11" x14ac:dyDescent="0.35">
      <c r="A516" s="328" t="s">
        <v>1358</v>
      </c>
      <c r="B516" t="s">
        <v>1359</v>
      </c>
      <c r="C516" s="329"/>
      <c r="D516" s="328" t="str">
        <f t="shared" si="12"/>
        <v>NACE F - 43.6 Intermediation service activities for specialised construction services</v>
      </c>
      <c r="K516" t="s">
        <v>2731</v>
      </c>
    </row>
    <row r="517" spans="1:11" x14ac:dyDescent="0.35">
      <c r="A517" s="329" t="s">
        <v>1360</v>
      </c>
      <c r="B517" t="s">
        <v>1361</v>
      </c>
      <c r="C517" s="329"/>
      <c r="D517" s="329" t="str">
        <f t="shared" si="12"/>
        <v>NACE F - 43.60 Intermediation service activities for specialised construction services</v>
      </c>
      <c r="K517" t="s">
        <v>3139</v>
      </c>
    </row>
    <row r="518" spans="1:11" x14ac:dyDescent="0.35">
      <c r="A518" s="328" t="s">
        <v>1362</v>
      </c>
      <c r="B518" t="s">
        <v>1363</v>
      </c>
      <c r="C518" s="329"/>
      <c r="D518" s="328" t="str">
        <f t="shared" si="12"/>
        <v>NACE F - 43.9 Other specialised construction activities</v>
      </c>
      <c r="K518" t="s">
        <v>3140</v>
      </c>
    </row>
    <row r="519" spans="1:11" x14ac:dyDescent="0.35">
      <c r="A519" s="329" t="s">
        <v>1364</v>
      </c>
      <c r="B519" t="s">
        <v>1365</v>
      </c>
      <c r="C519" s="329"/>
      <c r="D519" s="329" t="str">
        <f t="shared" si="12"/>
        <v>NACE F - 43.91 Masonry and bricklaying activities</v>
      </c>
      <c r="K519" t="s">
        <v>3141</v>
      </c>
    </row>
    <row r="520" spans="1:11" x14ac:dyDescent="0.35">
      <c r="A520" s="329" t="s">
        <v>1366</v>
      </c>
      <c r="B520" t="s">
        <v>1367</v>
      </c>
      <c r="C520" s="329"/>
      <c r="D520" s="329" t="str">
        <f t="shared" si="12"/>
        <v>NACE F - 43.99 Other specialised construction activities n.e.c.</v>
      </c>
      <c r="K520" t="s">
        <v>3142</v>
      </c>
    </row>
    <row r="521" spans="1:11" x14ac:dyDescent="0.35">
      <c r="A521" s="326" t="s">
        <v>1368</v>
      </c>
      <c r="B521" t="s">
        <v>1369</v>
      </c>
      <c r="C521" s="329"/>
      <c r="D521" s="326" t="str">
        <f t="shared" si="12"/>
        <v>NACE G - WHOLESALE AND RETAIL TRADE</v>
      </c>
      <c r="K521" t="s">
        <v>3143</v>
      </c>
    </row>
    <row r="522" spans="1:11" x14ac:dyDescent="0.35">
      <c r="A522" s="325" t="s">
        <v>1370</v>
      </c>
      <c r="B522" t="s">
        <v>1371</v>
      </c>
      <c r="C522" s="329"/>
      <c r="D522" s="325" t="str">
        <f t="shared" si="12"/>
        <v>NACE G - 46 Wholesale trade</v>
      </c>
      <c r="K522" t="s">
        <v>3144</v>
      </c>
    </row>
    <row r="523" spans="1:11" x14ac:dyDescent="0.35">
      <c r="A523" s="328" t="s">
        <v>1372</v>
      </c>
      <c r="B523" t="s">
        <v>1373</v>
      </c>
      <c r="C523" s="329"/>
      <c r="D523" s="328" t="str">
        <f t="shared" si="12"/>
        <v>NACE G - 46.1 Wholesale on a fee or contract basis</v>
      </c>
      <c r="K523" t="s">
        <v>3145</v>
      </c>
    </row>
    <row r="524" spans="1:11" x14ac:dyDescent="0.35">
      <c r="A524" s="329" t="s">
        <v>1374</v>
      </c>
      <c r="B524" t="s">
        <v>1375</v>
      </c>
      <c r="C524" s="329"/>
      <c r="D524" s="329" t="str">
        <f t="shared" si="12"/>
        <v>NACE G - 46.11 Activities of agents involved in the wholesale of agricultural raw materials, live animals, textile raw materials and semi-finished goods</v>
      </c>
      <c r="K524" t="s">
        <v>2732</v>
      </c>
    </row>
    <row r="525" spans="1:11" x14ac:dyDescent="0.35">
      <c r="A525" s="329" t="s">
        <v>1376</v>
      </c>
      <c r="B525" t="s">
        <v>1377</v>
      </c>
      <c r="C525" s="329"/>
      <c r="D525" s="329" t="str">
        <f t="shared" si="12"/>
        <v>NACE G - 46.12 Activities of agents involved in the wholesale of fuels, ores, metals and industrial chemicals</v>
      </c>
      <c r="K525" t="s">
        <v>2733</v>
      </c>
    </row>
    <row r="526" spans="1:11" x14ac:dyDescent="0.35">
      <c r="A526" s="329" t="s">
        <v>1378</v>
      </c>
      <c r="B526" t="s">
        <v>1379</v>
      </c>
      <c r="C526" s="329"/>
      <c r="D526" s="329" t="str">
        <f t="shared" si="12"/>
        <v>NACE G - 46.13 Activities of agents involved in the wholesale of timber and building materials</v>
      </c>
      <c r="K526" t="s">
        <v>2914</v>
      </c>
    </row>
    <row r="527" spans="1:11" x14ac:dyDescent="0.35">
      <c r="A527" s="329" t="s">
        <v>1380</v>
      </c>
      <c r="B527" t="s">
        <v>1381</v>
      </c>
      <c r="C527" s="329"/>
      <c r="D527" s="329" t="str">
        <f t="shared" si="12"/>
        <v>NACE G - 46.14 Activities of agents involved in the wholesale of machinery, industrial equipment, ships and aircraft</v>
      </c>
      <c r="K527" t="s">
        <v>2734</v>
      </c>
    </row>
    <row r="528" spans="1:11" x14ac:dyDescent="0.35">
      <c r="A528" s="329" t="s">
        <v>1382</v>
      </c>
      <c r="B528" t="s">
        <v>1383</v>
      </c>
      <c r="C528" s="329"/>
      <c r="D528" s="329" t="str">
        <f t="shared" si="12"/>
        <v>NACE G - 46.15 Activities of agents involved in the wholesale of furniture, household goods, hardware and ironmongery</v>
      </c>
      <c r="K528" t="s">
        <v>2735</v>
      </c>
    </row>
    <row r="529" spans="1:11" x14ac:dyDescent="0.35">
      <c r="A529" s="329" t="s">
        <v>1384</v>
      </c>
      <c r="B529" t="s">
        <v>1385</v>
      </c>
      <c r="C529" s="329"/>
      <c r="D529" s="329" t="str">
        <f t="shared" si="12"/>
        <v>NACE G - 46.16 Activities of agents involved in the wholesale of textiles, clothing, fur, footwear and leather goods</v>
      </c>
      <c r="K529" t="s">
        <v>2736</v>
      </c>
    </row>
    <row r="530" spans="1:11" x14ac:dyDescent="0.35">
      <c r="A530" s="329" t="s">
        <v>1386</v>
      </c>
      <c r="B530" t="s">
        <v>1387</v>
      </c>
      <c r="C530" s="329"/>
      <c r="D530" s="329" t="str">
        <f t="shared" si="12"/>
        <v>NACE G - 46.17 Activities of agents involved in the wholesale of food, beverages and tobacco</v>
      </c>
      <c r="K530" t="s">
        <v>2737</v>
      </c>
    </row>
    <row r="531" spans="1:11" x14ac:dyDescent="0.35">
      <c r="A531" s="329" t="s">
        <v>1388</v>
      </c>
      <c r="B531" t="s">
        <v>1389</v>
      </c>
      <c r="C531" s="329"/>
      <c r="D531" s="329" t="str">
        <f t="shared" si="12"/>
        <v>NACE G - 46.18 Activities of agents involved in the wholesale of other particular products</v>
      </c>
      <c r="K531" t="s">
        <v>2915</v>
      </c>
    </row>
    <row r="532" spans="1:11" x14ac:dyDescent="0.35">
      <c r="A532" s="329" t="s">
        <v>1390</v>
      </c>
      <c r="B532" t="s">
        <v>1391</v>
      </c>
      <c r="C532" s="329"/>
      <c r="D532" s="329" t="str">
        <f t="shared" si="12"/>
        <v>NACE G - 46.19 Activities of agents involved in non-specialised wholesale</v>
      </c>
      <c r="K532" t="s">
        <v>3146</v>
      </c>
    </row>
    <row r="533" spans="1:11" x14ac:dyDescent="0.35">
      <c r="A533" s="328" t="s">
        <v>1392</v>
      </c>
      <c r="B533" t="s">
        <v>1393</v>
      </c>
      <c r="C533" s="329"/>
      <c r="D533" s="328" t="str">
        <f t="shared" si="12"/>
        <v>NACE G - 46.2 Wholesale of agricultural raw materials and live animals</v>
      </c>
      <c r="K533" t="s">
        <v>3147</v>
      </c>
    </row>
    <row r="534" spans="1:11" x14ac:dyDescent="0.35">
      <c r="A534" s="329" t="s">
        <v>1394</v>
      </c>
      <c r="B534" t="s">
        <v>1395</v>
      </c>
      <c r="C534" s="329"/>
      <c r="D534" s="329" t="str">
        <f t="shared" si="12"/>
        <v>NACE G - 46.21 Wholesale of grain, unmanufactured tobacco, seeds and animal feeds</v>
      </c>
      <c r="K534" t="s">
        <v>2451</v>
      </c>
    </row>
    <row r="535" spans="1:11" x14ac:dyDescent="0.35">
      <c r="A535" s="329" t="s">
        <v>1396</v>
      </c>
      <c r="B535" t="s">
        <v>1397</v>
      </c>
      <c r="C535" s="329"/>
      <c r="D535" s="329" t="str">
        <f t="shared" si="12"/>
        <v>NACE G - 46.22 Wholesale of flowers and plants</v>
      </c>
      <c r="K535" t="s">
        <v>2916</v>
      </c>
    </row>
    <row r="536" spans="1:11" x14ac:dyDescent="0.35">
      <c r="A536" s="329" t="s">
        <v>1398</v>
      </c>
      <c r="B536" t="s">
        <v>1399</v>
      </c>
      <c r="C536" s="329"/>
      <c r="D536" s="329" t="str">
        <f t="shared" si="12"/>
        <v>NACE G - 46.23 Wholesale of live animals</v>
      </c>
      <c r="K536" t="s">
        <v>3148</v>
      </c>
    </row>
    <row r="537" spans="1:11" x14ac:dyDescent="0.35">
      <c r="A537" s="329" t="s">
        <v>1400</v>
      </c>
      <c r="B537" t="s">
        <v>1401</v>
      </c>
      <c r="C537" s="329"/>
      <c r="D537" s="329" t="str">
        <f t="shared" si="12"/>
        <v>NACE G - 46.24 Wholesale of hides, skins and leather</v>
      </c>
      <c r="K537" t="s">
        <v>3149</v>
      </c>
    </row>
    <row r="538" spans="1:11" x14ac:dyDescent="0.35">
      <c r="A538" s="328" t="s">
        <v>1402</v>
      </c>
      <c r="B538" t="s">
        <v>1403</v>
      </c>
      <c r="C538" s="329"/>
      <c r="D538" s="328" t="str">
        <f t="shared" si="12"/>
        <v>NACE G - 46.3 Wholesale of food, beverages and tobacco</v>
      </c>
      <c r="K538" t="s">
        <v>3150</v>
      </c>
    </row>
    <row r="539" spans="1:11" x14ac:dyDescent="0.35">
      <c r="A539" s="329" t="s">
        <v>1404</v>
      </c>
      <c r="B539" t="s">
        <v>1405</v>
      </c>
      <c r="C539" s="329"/>
      <c r="D539" s="329" t="str">
        <f t="shared" si="12"/>
        <v>NACE G - 46.31 Wholesale of fruit and vegetables</v>
      </c>
      <c r="K539" t="s">
        <v>3151</v>
      </c>
    </row>
    <row r="540" spans="1:11" x14ac:dyDescent="0.35">
      <c r="A540" s="329" t="s">
        <v>1406</v>
      </c>
      <c r="B540" t="s">
        <v>1407</v>
      </c>
      <c r="C540" s="329"/>
      <c r="D540" s="329" t="str">
        <f t="shared" si="12"/>
        <v>NACE G - 46.32 Wholesale of meat, meat products, fish and fish products</v>
      </c>
      <c r="K540" t="s">
        <v>3152</v>
      </c>
    </row>
    <row r="541" spans="1:11" x14ac:dyDescent="0.35">
      <c r="A541" s="329" t="s">
        <v>1408</v>
      </c>
      <c r="B541" t="s">
        <v>1409</v>
      </c>
      <c r="C541" s="329"/>
      <c r="D541" s="329" t="str">
        <f t="shared" si="12"/>
        <v>NACE G - 46.33 Wholesale of dairy products, eggs and edible oils and fats</v>
      </c>
      <c r="K541" t="s">
        <v>3153</v>
      </c>
    </row>
    <row r="542" spans="1:11" x14ac:dyDescent="0.35">
      <c r="A542" s="329" t="s">
        <v>1410</v>
      </c>
      <c r="B542" t="s">
        <v>1411</v>
      </c>
      <c r="C542" s="329"/>
      <c r="D542" s="329" t="str">
        <f t="shared" si="12"/>
        <v>NACE G - 46.34 Wholesale of beverages</v>
      </c>
      <c r="K542" t="s">
        <v>3154</v>
      </c>
    </row>
    <row r="543" spans="1:11" x14ac:dyDescent="0.35">
      <c r="A543" s="329" t="s">
        <v>1412</v>
      </c>
      <c r="B543" t="s">
        <v>1413</v>
      </c>
      <c r="C543" s="329"/>
      <c r="D543" s="329" t="str">
        <f t="shared" si="12"/>
        <v>NACE G - 46.35 Wholesale of tobacco products</v>
      </c>
      <c r="K543" t="s">
        <v>3155</v>
      </c>
    </row>
    <row r="544" spans="1:11" x14ac:dyDescent="0.35">
      <c r="A544" s="329" t="s">
        <v>1414</v>
      </c>
      <c r="B544" t="s">
        <v>1415</v>
      </c>
      <c r="C544" s="329"/>
      <c r="D544" s="329" t="str">
        <f t="shared" si="12"/>
        <v>NACE G - 46.36 Wholesale of sugar, chocolate and sugar confectionery</v>
      </c>
      <c r="K544" t="s">
        <v>2917</v>
      </c>
    </row>
    <row r="545" spans="1:11" x14ac:dyDescent="0.35">
      <c r="A545" s="329" t="s">
        <v>1416</v>
      </c>
      <c r="B545" t="s">
        <v>1417</v>
      </c>
      <c r="C545" s="329"/>
      <c r="D545" s="329" t="str">
        <f t="shared" si="12"/>
        <v>NACE G - 46.37 Wholesale of coffee, tea, cocoa and spices</v>
      </c>
      <c r="K545" t="s">
        <v>3156</v>
      </c>
    </row>
    <row r="546" spans="1:11" x14ac:dyDescent="0.35">
      <c r="A546" s="329" t="s">
        <v>1418</v>
      </c>
      <c r="B546" t="s">
        <v>1419</v>
      </c>
      <c r="C546" s="329"/>
      <c r="D546" s="329" t="str">
        <f t="shared" si="12"/>
        <v>NACE G - 46.38 Wholesale of other food</v>
      </c>
      <c r="K546" t="s">
        <v>3157</v>
      </c>
    </row>
    <row r="547" spans="1:11" x14ac:dyDescent="0.35">
      <c r="A547" s="329" t="s">
        <v>1420</v>
      </c>
      <c r="B547" t="s">
        <v>1421</v>
      </c>
      <c r="C547" s="329"/>
      <c r="D547" s="329" t="str">
        <f t="shared" si="12"/>
        <v>NACE G - 46.39 Non-specialised wholesale of food, beverages and tobacco</v>
      </c>
      <c r="K547" t="s">
        <v>3158</v>
      </c>
    </row>
    <row r="548" spans="1:11" x14ac:dyDescent="0.35">
      <c r="A548" s="328" t="s">
        <v>1422</v>
      </c>
      <c r="B548" t="s">
        <v>1423</v>
      </c>
      <c r="C548" s="329"/>
      <c r="D548" s="328" t="str">
        <f t="shared" si="12"/>
        <v>NACE G - 46.4 Wholesale of household goods</v>
      </c>
      <c r="K548" t="s">
        <v>2918</v>
      </c>
    </row>
    <row r="549" spans="1:11" x14ac:dyDescent="0.35">
      <c r="A549" s="329" t="s">
        <v>1424</v>
      </c>
      <c r="B549" t="s">
        <v>1425</v>
      </c>
      <c r="C549" s="329"/>
      <c r="D549" s="329" t="str">
        <f t="shared" si="12"/>
        <v>NACE G - 46.41 Wholesale of textiles</v>
      </c>
      <c r="K549" t="s">
        <v>3159</v>
      </c>
    </row>
    <row r="550" spans="1:11" x14ac:dyDescent="0.35">
      <c r="A550" s="329" t="s">
        <v>1426</v>
      </c>
      <c r="B550" t="s">
        <v>1427</v>
      </c>
      <c r="C550" s="329"/>
      <c r="D550" s="329" t="str">
        <f t="shared" si="12"/>
        <v>NACE G - 46.42 Wholesale of clothing and footwear</v>
      </c>
      <c r="K550" t="s">
        <v>3160</v>
      </c>
    </row>
    <row r="551" spans="1:11" x14ac:dyDescent="0.35">
      <c r="A551" s="329" t="s">
        <v>1428</v>
      </c>
      <c r="B551" t="s">
        <v>1429</v>
      </c>
      <c r="C551" s="329"/>
      <c r="D551" s="329" t="str">
        <f t="shared" si="12"/>
        <v>NACE G - 46.43 Wholesale of electrical household appliances</v>
      </c>
      <c r="K551" t="s">
        <v>3161</v>
      </c>
    </row>
    <row r="552" spans="1:11" x14ac:dyDescent="0.35">
      <c r="A552" s="329" t="s">
        <v>1430</v>
      </c>
      <c r="B552" t="s">
        <v>1431</v>
      </c>
      <c r="C552" s="329"/>
      <c r="D552" s="329" t="str">
        <f t="shared" si="12"/>
        <v>NACE G - 46.44 Wholesale of china and glassware and cleaning materials</v>
      </c>
      <c r="K552" t="s">
        <v>3162</v>
      </c>
    </row>
    <row r="553" spans="1:11" x14ac:dyDescent="0.35">
      <c r="A553" s="329" t="s">
        <v>1432</v>
      </c>
      <c r="B553" t="s">
        <v>1433</v>
      </c>
      <c r="C553" s="329"/>
      <c r="D553" s="329" t="str">
        <f t="shared" si="12"/>
        <v>NACE G - 46.45 Wholesale of perfume and cosmetics</v>
      </c>
      <c r="K553" t="s">
        <v>3163</v>
      </c>
    </row>
    <row r="554" spans="1:11" x14ac:dyDescent="0.35">
      <c r="A554" s="329" t="s">
        <v>1434</v>
      </c>
      <c r="B554" t="s">
        <v>1435</v>
      </c>
      <c r="C554" s="329"/>
      <c r="D554" s="329" t="str">
        <f t="shared" si="12"/>
        <v>NACE G - 46.46 Wholesale of pharmaceutical and medical goods</v>
      </c>
      <c r="K554" t="s">
        <v>2919</v>
      </c>
    </row>
    <row r="555" spans="1:11" x14ac:dyDescent="0.35">
      <c r="A555" s="329" t="s">
        <v>1436</v>
      </c>
      <c r="B555" t="s">
        <v>1437</v>
      </c>
      <c r="C555" s="329"/>
      <c r="D555" s="329" t="str">
        <f t="shared" si="12"/>
        <v>NACE G - 46.47 Wholesale of household, office and shop furniture, carpets and lighting equipment</v>
      </c>
      <c r="K555" t="s">
        <v>3164</v>
      </c>
    </row>
    <row r="556" spans="1:11" x14ac:dyDescent="0.35">
      <c r="A556" s="329" t="s">
        <v>1438</v>
      </c>
      <c r="B556" t="s">
        <v>1439</v>
      </c>
      <c r="C556" s="329"/>
      <c r="D556" s="329" t="str">
        <f t="shared" si="12"/>
        <v>NACE G - 46.48 Wholesale of watches and jewellery</v>
      </c>
      <c r="K556" t="s">
        <v>3165</v>
      </c>
    </row>
    <row r="557" spans="1:11" x14ac:dyDescent="0.35">
      <c r="A557" s="329" t="s">
        <v>1440</v>
      </c>
      <c r="B557" t="s">
        <v>1441</v>
      </c>
      <c r="C557" s="329"/>
      <c r="D557" s="329" t="str">
        <f t="shared" si="12"/>
        <v>NACE G - 46.49 Wholesale of other household goods</v>
      </c>
      <c r="K557" t="s">
        <v>3166</v>
      </c>
    </row>
    <row r="558" spans="1:11" x14ac:dyDescent="0.35">
      <c r="A558" s="328" t="s">
        <v>1442</v>
      </c>
      <c r="B558" t="s">
        <v>1443</v>
      </c>
      <c r="C558" s="329"/>
      <c r="D558" s="328" t="str">
        <f t="shared" si="12"/>
        <v>NACE G - 46.5 Wholesale of information and communication equipment</v>
      </c>
      <c r="K558" t="s">
        <v>2920</v>
      </c>
    </row>
    <row r="559" spans="1:11" x14ac:dyDescent="0.35">
      <c r="A559" s="329" t="s">
        <v>1444</v>
      </c>
      <c r="B559" t="s">
        <v>1445</v>
      </c>
      <c r="C559" s="329"/>
      <c r="D559" s="329" t="str">
        <f t="shared" si="12"/>
        <v>NACE G - 46.50 Wholesale of information and communication equipment</v>
      </c>
      <c r="K559" t="s">
        <v>3167</v>
      </c>
    </row>
    <row r="560" spans="1:11" x14ac:dyDescent="0.35">
      <c r="A560" s="328" t="s">
        <v>1446</v>
      </c>
      <c r="B560" t="s">
        <v>1447</v>
      </c>
      <c r="C560" s="329"/>
      <c r="D560" s="328" t="str">
        <f t="shared" si="12"/>
        <v>NACE G - 46.6 Wholesale of other machinery, equipment and supplies</v>
      </c>
      <c r="K560" t="s">
        <v>3168</v>
      </c>
    </row>
    <row r="561" spans="1:11" x14ac:dyDescent="0.35">
      <c r="A561" s="329" t="s">
        <v>1448</v>
      </c>
      <c r="B561" t="s">
        <v>1449</v>
      </c>
      <c r="C561" s="329"/>
      <c r="D561" s="329" t="str">
        <f t="shared" si="12"/>
        <v>NACE G - 46.61 Wholesale of agricultural machinery, equipment and supplies</v>
      </c>
      <c r="K561" t="s">
        <v>3169</v>
      </c>
    </row>
    <row r="562" spans="1:11" x14ac:dyDescent="0.35">
      <c r="A562" s="329" t="s">
        <v>1450</v>
      </c>
      <c r="B562" t="s">
        <v>1451</v>
      </c>
      <c r="C562" s="329"/>
      <c r="D562" s="329" t="str">
        <f t="shared" si="12"/>
        <v>NACE G - 46.62 Wholesale of machine tools</v>
      </c>
      <c r="K562" t="s">
        <v>3170</v>
      </c>
    </row>
    <row r="563" spans="1:11" x14ac:dyDescent="0.35">
      <c r="A563" s="329" t="s">
        <v>1452</v>
      </c>
      <c r="B563" t="s">
        <v>1453</v>
      </c>
      <c r="C563" s="329"/>
      <c r="D563" s="329" t="str">
        <f t="shared" si="12"/>
        <v>NACE G - 46.63 Wholesale of mining, construction and civil engineering machinery</v>
      </c>
      <c r="K563" t="s">
        <v>3171</v>
      </c>
    </row>
    <row r="564" spans="1:11" x14ac:dyDescent="0.35">
      <c r="A564" s="329" t="s">
        <v>1454</v>
      </c>
      <c r="B564" t="s">
        <v>1455</v>
      </c>
      <c r="C564" s="329"/>
      <c r="D564" s="329" t="str">
        <f t="shared" si="12"/>
        <v>NACE G - 46.64 Wholesale of other machinery and equipment</v>
      </c>
      <c r="K564" t="s">
        <v>2921</v>
      </c>
    </row>
    <row r="565" spans="1:11" x14ac:dyDescent="0.35">
      <c r="A565" s="328" t="s">
        <v>1456</v>
      </c>
      <c r="B565" t="s">
        <v>1457</v>
      </c>
      <c r="C565" s="329"/>
      <c r="D565" s="328" t="str">
        <f t="shared" si="12"/>
        <v>NACE G - 46.7 Wholesale of motor vehicles, motorcycles and related parts and accessories</v>
      </c>
      <c r="K565" t="s">
        <v>3172</v>
      </c>
    </row>
    <row r="566" spans="1:11" x14ac:dyDescent="0.35">
      <c r="A566" s="329" t="s">
        <v>1458</v>
      </c>
      <c r="B566" t="s">
        <v>1459</v>
      </c>
      <c r="C566" s="329"/>
      <c r="D566" s="329" t="str">
        <f t="shared" si="12"/>
        <v>NACE G - 46.71 Wholesale of motor vehicles</v>
      </c>
      <c r="K566" t="s">
        <v>3173</v>
      </c>
    </row>
    <row r="567" spans="1:11" x14ac:dyDescent="0.35">
      <c r="A567" s="329" t="s">
        <v>1460</v>
      </c>
      <c r="B567" t="s">
        <v>1461</v>
      </c>
      <c r="C567" s="329"/>
      <c r="D567" s="329" t="str">
        <f t="shared" si="12"/>
        <v>NACE G - 46.72 Wholesale of motor vehicle parts and accessories</v>
      </c>
      <c r="K567" t="s">
        <v>2922</v>
      </c>
    </row>
    <row r="568" spans="1:11" x14ac:dyDescent="0.35">
      <c r="A568" s="329" t="s">
        <v>1462</v>
      </c>
      <c r="B568" t="s">
        <v>1463</v>
      </c>
      <c r="C568" s="329"/>
      <c r="D568" s="329" t="str">
        <f t="shared" si="12"/>
        <v>NACE G - 46.73 Wholesale of motorcycles, motorcycle parts and accessories</v>
      </c>
      <c r="K568" t="s">
        <v>3174</v>
      </c>
    </row>
    <row r="569" spans="1:11" x14ac:dyDescent="0.35">
      <c r="A569" s="328" t="s">
        <v>1464</v>
      </c>
      <c r="B569" t="s">
        <v>1465</v>
      </c>
      <c r="C569" s="329"/>
      <c r="D569" s="328" t="str">
        <f t="shared" si="12"/>
        <v>NACE G - 46.8 Other specialised wholesale</v>
      </c>
      <c r="K569" t="s">
        <v>3175</v>
      </c>
    </row>
    <row r="570" spans="1:11" x14ac:dyDescent="0.35">
      <c r="A570" s="329" t="s">
        <v>1466</v>
      </c>
      <c r="B570" t="s">
        <v>1467</v>
      </c>
      <c r="C570" s="329"/>
      <c r="D570" s="329" t="str">
        <f t="shared" si="12"/>
        <v>NACE G - 46.81 Wholesale of solid, liquid and gaseous fuels and related products</v>
      </c>
      <c r="K570" t="s">
        <v>3176</v>
      </c>
    </row>
    <row r="571" spans="1:11" x14ac:dyDescent="0.35">
      <c r="A571" s="329" t="s">
        <v>1468</v>
      </c>
      <c r="B571" t="s">
        <v>1469</v>
      </c>
      <c r="C571" s="329"/>
      <c r="D571" s="329" t="str">
        <f t="shared" si="12"/>
        <v>NACE G - 46.82 Wholesale of metals and metal ores</v>
      </c>
      <c r="K571" t="s">
        <v>3177</v>
      </c>
    </row>
    <row r="572" spans="1:11" x14ac:dyDescent="0.35">
      <c r="A572" s="329" t="s">
        <v>1470</v>
      </c>
      <c r="B572" t="s">
        <v>1471</v>
      </c>
      <c r="C572" s="329"/>
      <c r="D572" s="329" t="str">
        <f t="shared" si="12"/>
        <v>NACE G - 46.83 Wholesale of wood, construction materials and sanitary equipment</v>
      </c>
      <c r="K572" t="s">
        <v>3178</v>
      </c>
    </row>
    <row r="573" spans="1:11" x14ac:dyDescent="0.35">
      <c r="A573" s="329" t="s">
        <v>1472</v>
      </c>
      <c r="B573" t="s">
        <v>1473</v>
      </c>
      <c r="C573" s="329"/>
      <c r="D573" s="329" t="str">
        <f t="shared" si="12"/>
        <v>NACE G - 46.84 Wholesale of hardware, plumbing and heating equipment and supplies</v>
      </c>
      <c r="K573" t="s">
        <v>3179</v>
      </c>
    </row>
    <row r="574" spans="1:11" x14ac:dyDescent="0.35">
      <c r="A574" s="329" t="s">
        <v>1474</v>
      </c>
      <c r="B574" t="s">
        <v>1475</v>
      </c>
      <c r="C574" s="329"/>
      <c r="D574" s="329" t="str">
        <f t="shared" si="12"/>
        <v>NACE G - 46.85 Wholesale of chemical products</v>
      </c>
      <c r="K574" t="s">
        <v>3180</v>
      </c>
    </row>
    <row r="575" spans="1:11" x14ac:dyDescent="0.35">
      <c r="A575" s="329" t="s">
        <v>1476</v>
      </c>
      <c r="B575" t="s">
        <v>1477</v>
      </c>
      <c r="C575" s="329"/>
      <c r="D575" s="329" t="str">
        <f t="shared" si="12"/>
        <v>NACE G - 46.86 Wholesale of other intermediate products</v>
      </c>
      <c r="K575" t="s">
        <v>2923</v>
      </c>
    </row>
    <row r="576" spans="1:11" x14ac:dyDescent="0.35">
      <c r="A576" s="329" t="s">
        <v>1478</v>
      </c>
      <c r="B576" t="s">
        <v>1479</v>
      </c>
      <c r="C576" s="329"/>
      <c r="D576" s="329" t="str">
        <f t="shared" si="12"/>
        <v>NACE G - 46.87 Wholesale of waste and scrap</v>
      </c>
      <c r="K576" t="s">
        <v>3181</v>
      </c>
    </row>
    <row r="577" spans="1:11" x14ac:dyDescent="0.35">
      <c r="A577" s="329" t="s">
        <v>1480</v>
      </c>
      <c r="B577" t="s">
        <v>1481</v>
      </c>
      <c r="C577" s="329"/>
      <c r="D577" s="329" t="str">
        <f t="shared" si="12"/>
        <v>NACE G - 46.89 Other specialised wholesale n.e.c.</v>
      </c>
      <c r="K577" t="s">
        <v>3182</v>
      </c>
    </row>
    <row r="578" spans="1:11" x14ac:dyDescent="0.35">
      <c r="A578" s="328" t="s">
        <v>1482</v>
      </c>
      <c r="B578" t="s">
        <v>1483</v>
      </c>
      <c r="C578" s="329"/>
      <c r="D578" s="328" t="str">
        <f t="shared" ref="D578:D641" si="13">_xlfn.CONCAT("NACE ", A578)</f>
        <v>NACE G - 46.9 Non-specialised wholesale trade</v>
      </c>
      <c r="K578" t="s">
        <v>3183</v>
      </c>
    </row>
    <row r="579" spans="1:11" x14ac:dyDescent="0.35">
      <c r="A579" s="329" t="s">
        <v>1484</v>
      </c>
      <c r="B579" t="s">
        <v>1485</v>
      </c>
      <c r="C579" s="329"/>
      <c r="D579" s="329" t="str">
        <f t="shared" si="13"/>
        <v>NACE G - 46.90 Non-specialised wholesale trade</v>
      </c>
      <c r="K579" t="s">
        <v>3184</v>
      </c>
    </row>
    <row r="580" spans="1:11" x14ac:dyDescent="0.35">
      <c r="A580" s="325" t="s">
        <v>1486</v>
      </c>
      <c r="B580" t="s">
        <v>1487</v>
      </c>
      <c r="C580" s="329"/>
      <c r="D580" s="325" t="str">
        <f t="shared" si="13"/>
        <v>NACE G - 47 Retail trade</v>
      </c>
      <c r="K580" t="s">
        <v>2924</v>
      </c>
    </row>
    <row r="581" spans="1:11" x14ac:dyDescent="0.35">
      <c r="A581" s="328" t="s">
        <v>1488</v>
      </c>
      <c r="B581" t="s">
        <v>1489</v>
      </c>
      <c r="C581" s="329"/>
      <c r="D581" s="328" t="str">
        <f t="shared" si="13"/>
        <v>NACE G - 47.1 Non-specialised retail sale</v>
      </c>
      <c r="K581" t="s">
        <v>3185</v>
      </c>
    </row>
    <row r="582" spans="1:11" x14ac:dyDescent="0.35">
      <c r="A582" s="329" t="s">
        <v>1490</v>
      </c>
      <c r="B582" t="s">
        <v>1491</v>
      </c>
      <c r="C582" s="329"/>
      <c r="D582" s="329" t="str">
        <f t="shared" si="13"/>
        <v>NACE G - 47.11 Non-specialised retail sale of predominately food, beverages or tobacco</v>
      </c>
      <c r="K582" t="s">
        <v>3186</v>
      </c>
    </row>
    <row r="583" spans="1:11" x14ac:dyDescent="0.35">
      <c r="A583" s="329" t="s">
        <v>1492</v>
      </c>
      <c r="B583" t="s">
        <v>1493</v>
      </c>
      <c r="C583" s="329"/>
      <c r="D583" s="329" t="str">
        <f t="shared" si="13"/>
        <v>NACE G - 47.12 Other non-specialised retail sale</v>
      </c>
      <c r="K583" t="s">
        <v>3187</v>
      </c>
    </row>
    <row r="584" spans="1:11" x14ac:dyDescent="0.35">
      <c r="A584" s="328" t="s">
        <v>1494</v>
      </c>
      <c r="B584" t="s">
        <v>1495</v>
      </c>
      <c r="C584" s="329"/>
      <c r="D584" s="328" t="str">
        <f t="shared" si="13"/>
        <v>NACE G - 47.2 Retail sale of food, beverages and tobacco</v>
      </c>
      <c r="K584" t="s">
        <v>3188</v>
      </c>
    </row>
    <row r="585" spans="1:11" x14ac:dyDescent="0.35">
      <c r="A585" s="329" t="s">
        <v>1496</v>
      </c>
      <c r="B585" t="s">
        <v>1497</v>
      </c>
      <c r="C585" s="329"/>
      <c r="D585" s="329" t="str">
        <f t="shared" si="13"/>
        <v>NACE G - 47.21 Retail sale of fruit and vegetables</v>
      </c>
      <c r="K585" t="s">
        <v>3189</v>
      </c>
    </row>
    <row r="586" spans="1:11" x14ac:dyDescent="0.35">
      <c r="A586" s="329" t="s">
        <v>1498</v>
      </c>
      <c r="B586" t="s">
        <v>1499</v>
      </c>
      <c r="C586" s="329"/>
      <c r="D586" s="329" t="str">
        <f t="shared" si="13"/>
        <v>NACE G - 47.22 Retail sale of meat and meat products</v>
      </c>
      <c r="K586" t="s">
        <v>2925</v>
      </c>
    </row>
    <row r="587" spans="1:11" x14ac:dyDescent="0.35">
      <c r="A587" s="329" t="s">
        <v>1500</v>
      </c>
      <c r="B587" t="s">
        <v>1501</v>
      </c>
      <c r="C587" s="329"/>
      <c r="D587" s="329" t="str">
        <f t="shared" si="13"/>
        <v>NACE G - 47.23 Retail sale of fish, crustaceans and molluscs</v>
      </c>
      <c r="K587" t="s">
        <v>3190</v>
      </c>
    </row>
    <row r="588" spans="1:11" x14ac:dyDescent="0.35">
      <c r="A588" s="329" t="s">
        <v>1502</v>
      </c>
      <c r="B588" t="s">
        <v>1503</v>
      </c>
      <c r="C588" s="329"/>
      <c r="D588" s="329" t="str">
        <f t="shared" si="13"/>
        <v>NACE G - 47.24 Retail sale of bread, cake and confectionery</v>
      </c>
      <c r="K588" t="s">
        <v>3191</v>
      </c>
    </row>
    <row r="589" spans="1:11" x14ac:dyDescent="0.35">
      <c r="A589" s="329" t="s">
        <v>1504</v>
      </c>
      <c r="B589" t="s">
        <v>1505</v>
      </c>
      <c r="C589" s="329"/>
      <c r="D589" s="329" t="str">
        <f t="shared" si="13"/>
        <v>NACE G - 47.25 Retail sale of beverages</v>
      </c>
      <c r="K589" t="s">
        <v>3192</v>
      </c>
    </row>
    <row r="590" spans="1:11" x14ac:dyDescent="0.35">
      <c r="A590" s="329" t="s">
        <v>1506</v>
      </c>
      <c r="B590" t="s">
        <v>1507</v>
      </c>
      <c r="C590" s="329"/>
      <c r="D590" s="329" t="str">
        <f t="shared" si="13"/>
        <v>NACE G - 47.26 Retail sale of tobacco products</v>
      </c>
      <c r="K590" t="s">
        <v>3193</v>
      </c>
    </row>
    <row r="591" spans="1:11" x14ac:dyDescent="0.35">
      <c r="A591" s="329" t="s">
        <v>1508</v>
      </c>
      <c r="B591" t="s">
        <v>1509</v>
      </c>
      <c r="C591" s="329"/>
      <c r="D591" s="329" t="str">
        <f t="shared" si="13"/>
        <v>NACE G - 47.27 Retail sale of other food</v>
      </c>
      <c r="K591" t="s">
        <v>3194</v>
      </c>
    </row>
    <row r="592" spans="1:11" x14ac:dyDescent="0.35">
      <c r="A592" s="328" t="s">
        <v>1510</v>
      </c>
      <c r="B592" t="s">
        <v>1511</v>
      </c>
      <c r="C592" s="329"/>
      <c r="D592" s="328" t="str">
        <f t="shared" si="13"/>
        <v>NACE G - 47.3 Retail sale of automotive fuel</v>
      </c>
      <c r="K592" t="s">
        <v>2926</v>
      </c>
    </row>
    <row r="593" spans="1:11" x14ac:dyDescent="0.35">
      <c r="A593" s="329" t="s">
        <v>1512</v>
      </c>
      <c r="B593" t="s">
        <v>1513</v>
      </c>
      <c r="C593" s="329"/>
      <c r="D593" s="329" t="str">
        <f t="shared" si="13"/>
        <v>NACE G - 47.30 Retail sale of automotive fuel</v>
      </c>
      <c r="K593" t="s">
        <v>2738</v>
      </c>
    </row>
    <row r="594" spans="1:11" x14ac:dyDescent="0.35">
      <c r="A594" s="328" t="s">
        <v>1514</v>
      </c>
      <c r="B594" t="s">
        <v>1515</v>
      </c>
      <c r="C594" s="329"/>
      <c r="D594" s="328" t="str">
        <f t="shared" si="13"/>
        <v>NACE G - 47.4 Retail sale of information and communication equipment</v>
      </c>
      <c r="K594" t="s">
        <v>2739</v>
      </c>
    </row>
    <row r="595" spans="1:11" x14ac:dyDescent="0.35">
      <c r="A595" s="329" t="s">
        <v>1516</v>
      </c>
      <c r="B595" t="s">
        <v>1517</v>
      </c>
      <c r="C595" s="329"/>
      <c r="D595" s="329" t="str">
        <f t="shared" si="13"/>
        <v>NACE G - 47.40 Retail sale of information and communication equipment</v>
      </c>
      <c r="K595" t="s">
        <v>2740</v>
      </c>
    </row>
    <row r="596" spans="1:11" x14ac:dyDescent="0.35">
      <c r="A596" s="328" t="s">
        <v>1518</v>
      </c>
      <c r="B596" t="s">
        <v>1519</v>
      </c>
      <c r="C596" s="329"/>
      <c r="D596" s="328" t="str">
        <f t="shared" si="13"/>
        <v>NACE G - 47.5 Retail sale of other household equipment</v>
      </c>
      <c r="K596" t="s">
        <v>2741</v>
      </c>
    </row>
    <row r="597" spans="1:11" x14ac:dyDescent="0.35">
      <c r="A597" s="329" t="s">
        <v>1520</v>
      </c>
      <c r="B597" t="s">
        <v>1521</v>
      </c>
      <c r="C597" s="329"/>
      <c r="D597" s="329" t="str">
        <f t="shared" si="13"/>
        <v>NACE G - 47.51 Retail sale of textiles</v>
      </c>
      <c r="K597" t="s">
        <v>2742</v>
      </c>
    </row>
    <row r="598" spans="1:11" x14ac:dyDescent="0.35">
      <c r="A598" s="329" t="s">
        <v>1522</v>
      </c>
      <c r="B598" t="s">
        <v>1523</v>
      </c>
      <c r="C598" s="329"/>
      <c r="D598" s="329" t="str">
        <f t="shared" si="13"/>
        <v>NACE G - 47.52 Retail sale of hardware, building materials, paints and glass</v>
      </c>
      <c r="K598" t="s">
        <v>2452</v>
      </c>
    </row>
    <row r="599" spans="1:11" x14ac:dyDescent="0.35">
      <c r="A599" s="329" t="s">
        <v>1524</v>
      </c>
      <c r="B599" t="s">
        <v>1525</v>
      </c>
      <c r="C599" s="329"/>
      <c r="D599" s="329" t="str">
        <f t="shared" si="13"/>
        <v>NACE G - 47.53 Retail sale of carpets, rugs, wall and floor coverings</v>
      </c>
      <c r="K599" t="s">
        <v>2927</v>
      </c>
    </row>
    <row r="600" spans="1:11" x14ac:dyDescent="0.35">
      <c r="A600" s="329" t="s">
        <v>1526</v>
      </c>
      <c r="B600" t="s">
        <v>1527</v>
      </c>
      <c r="C600" s="329"/>
      <c r="D600" s="329" t="str">
        <f t="shared" si="13"/>
        <v>NACE G - 47.54 Retail sale of electrical household appliances</v>
      </c>
      <c r="K600" t="s">
        <v>2743</v>
      </c>
    </row>
    <row r="601" spans="1:11" x14ac:dyDescent="0.35">
      <c r="A601" s="329" t="s">
        <v>1528</v>
      </c>
      <c r="B601" t="s">
        <v>1529</v>
      </c>
      <c r="C601" s="329"/>
      <c r="D601" s="329" t="str">
        <f t="shared" si="13"/>
        <v>NACE G - 47.55 Retail sale of furniture, lighting equipment, tableware and other household goods</v>
      </c>
      <c r="K601" t="s">
        <v>2744</v>
      </c>
    </row>
    <row r="602" spans="1:11" x14ac:dyDescent="0.35">
      <c r="A602" s="328" t="s">
        <v>1530</v>
      </c>
      <c r="B602" t="s">
        <v>1531</v>
      </c>
      <c r="C602" s="329"/>
      <c r="D602" s="328" t="str">
        <f t="shared" si="13"/>
        <v>NACE G - 47.6 Retail sale of cultural and recreation goods</v>
      </c>
      <c r="K602" t="s">
        <v>2745</v>
      </c>
    </row>
    <row r="603" spans="1:11" x14ac:dyDescent="0.35">
      <c r="A603" s="329" t="s">
        <v>1532</v>
      </c>
      <c r="B603" t="s">
        <v>1533</v>
      </c>
      <c r="C603" s="329"/>
      <c r="D603" s="329" t="str">
        <f t="shared" si="13"/>
        <v>NACE G - 47.61 Retail sale of books</v>
      </c>
      <c r="K603" t="s">
        <v>2746</v>
      </c>
    </row>
    <row r="604" spans="1:11" x14ac:dyDescent="0.35">
      <c r="A604" s="329" t="s">
        <v>1534</v>
      </c>
      <c r="B604" t="s">
        <v>1535</v>
      </c>
      <c r="C604" s="329"/>
      <c r="D604" s="329" t="str">
        <f t="shared" si="13"/>
        <v>NACE G - 47.62 Retail sale of newspapers, and other periodical publications and stationery</v>
      </c>
      <c r="K604" t="s">
        <v>2747</v>
      </c>
    </row>
    <row r="605" spans="1:11" x14ac:dyDescent="0.35">
      <c r="A605" s="329" t="s">
        <v>1536</v>
      </c>
      <c r="B605" t="s">
        <v>1537</v>
      </c>
      <c r="C605" s="329"/>
      <c r="D605" s="329" t="str">
        <f t="shared" si="13"/>
        <v>NACE G - 47.63 Retail sale of sporting equipment</v>
      </c>
      <c r="K605" t="s">
        <v>2748</v>
      </c>
    </row>
    <row r="606" spans="1:11" x14ac:dyDescent="0.35">
      <c r="A606" s="329" t="s">
        <v>1538</v>
      </c>
      <c r="B606" t="s">
        <v>1539</v>
      </c>
      <c r="C606" s="329"/>
      <c r="D606" s="329" t="str">
        <f t="shared" si="13"/>
        <v>NACE G - 47.64 Retail sale of games and toys</v>
      </c>
      <c r="K606" t="s">
        <v>2749</v>
      </c>
    </row>
    <row r="607" spans="1:11" x14ac:dyDescent="0.35">
      <c r="A607" s="329" t="s">
        <v>1540</v>
      </c>
      <c r="B607" t="s">
        <v>1541</v>
      </c>
      <c r="C607" s="329"/>
      <c r="D607" s="329" t="str">
        <f t="shared" si="13"/>
        <v>NACE G - 47.69 Retail sale of cultural and recreational goods n.e.c.</v>
      </c>
      <c r="K607" t="s">
        <v>3195</v>
      </c>
    </row>
    <row r="608" spans="1:11" x14ac:dyDescent="0.35">
      <c r="A608" s="328" t="s">
        <v>1542</v>
      </c>
      <c r="B608" t="s">
        <v>1543</v>
      </c>
      <c r="C608" s="329"/>
      <c r="D608" s="328" t="str">
        <f t="shared" si="13"/>
        <v>NACE G - 47.7 Retail sale of other goods, except motor vehicles and motorcycles</v>
      </c>
      <c r="K608" t="s">
        <v>2928</v>
      </c>
    </row>
    <row r="609" spans="1:11" x14ac:dyDescent="0.35">
      <c r="A609" s="329" t="s">
        <v>1544</v>
      </c>
      <c r="B609" t="s">
        <v>1545</v>
      </c>
      <c r="C609" s="329"/>
      <c r="D609" s="329" t="str">
        <f t="shared" si="13"/>
        <v>NACE G - 47.71 Retail sale of clothing</v>
      </c>
      <c r="K609" t="s">
        <v>3196</v>
      </c>
    </row>
    <row r="610" spans="1:11" x14ac:dyDescent="0.35">
      <c r="A610" s="329" t="s">
        <v>1546</v>
      </c>
      <c r="B610" t="s">
        <v>1547</v>
      </c>
      <c r="C610" s="329"/>
      <c r="D610" s="329" t="str">
        <f t="shared" si="13"/>
        <v>NACE G - 47.72 Retail sale of footwear and leather goods</v>
      </c>
      <c r="K610" t="s">
        <v>2750</v>
      </c>
    </row>
    <row r="611" spans="1:11" x14ac:dyDescent="0.35">
      <c r="A611" s="329" t="s">
        <v>1548</v>
      </c>
      <c r="B611" t="s">
        <v>1549</v>
      </c>
      <c r="C611" s="329"/>
      <c r="D611" s="329" t="str">
        <f t="shared" si="13"/>
        <v>NACE G - 47.73 Retail sale of pharmaceutical products</v>
      </c>
      <c r="K611" t="s">
        <v>2453</v>
      </c>
    </row>
    <row r="612" spans="1:11" x14ac:dyDescent="0.35">
      <c r="A612" s="329" t="s">
        <v>1550</v>
      </c>
      <c r="B612" t="s">
        <v>1551</v>
      </c>
      <c r="C612" s="329"/>
      <c r="D612" s="329" t="str">
        <f t="shared" si="13"/>
        <v>NACE G - 47.74 Retail sale of medical and orthopaedic goods</v>
      </c>
      <c r="K612" t="s">
        <v>2929</v>
      </c>
    </row>
    <row r="613" spans="1:11" x14ac:dyDescent="0.35">
      <c r="A613" s="329" t="s">
        <v>1552</v>
      </c>
      <c r="B613" t="s">
        <v>1553</v>
      </c>
      <c r="C613" s="329"/>
      <c r="D613" s="329" t="str">
        <f t="shared" si="13"/>
        <v>NACE G - 47.75 Retail sale of cosmetic and toilet articles</v>
      </c>
      <c r="K613" t="s">
        <v>2751</v>
      </c>
    </row>
    <row r="614" spans="1:11" x14ac:dyDescent="0.35">
      <c r="A614" s="329" t="s">
        <v>1554</v>
      </c>
      <c r="B614" t="s">
        <v>1555</v>
      </c>
      <c r="C614" s="329"/>
      <c r="D614" s="329" t="str">
        <f t="shared" si="13"/>
        <v>NACE G - 47.76 Retail sale of flowers, plants, fertilisers, pets and pet food</v>
      </c>
      <c r="K614" t="s">
        <v>2752</v>
      </c>
    </row>
    <row r="615" spans="1:11" x14ac:dyDescent="0.35">
      <c r="A615" s="329" t="s">
        <v>1556</v>
      </c>
      <c r="B615" t="s">
        <v>1557</v>
      </c>
      <c r="C615" s="329"/>
      <c r="D615" s="329" t="str">
        <f t="shared" si="13"/>
        <v>NACE G - 47.77 Retail sale of watches and jewellery</v>
      </c>
      <c r="K615" t="s">
        <v>2753</v>
      </c>
    </row>
    <row r="616" spans="1:11" x14ac:dyDescent="0.35">
      <c r="A616" s="329" t="s">
        <v>1558</v>
      </c>
      <c r="B616" t="s">
        <v>1559</v>
      </c>
      <c r="C616" s="329"/>
      <c r="D616" s="329" t="str">
        <f t="shared" si="13"/>
        <v>NACE G - 47.78 Retail sale of other new goods</v>
      </c>
      <c r="K616" t="s">
        <v>2754</v>
      </c>
    </row>
    <row r="617" spans="1:11" x14ac:dyDescent="0.35">
      <c r="A617" s="329" t="s">
        <v>1560</v>
      </c>
      <c r="B617" t="s">
        <v>1561</v>
      </c>
      <c r="C617" s="329"/>
      <c r="D617" s="329" t="str">
        <f t="shared" si="13"/>
        <v>NACE G - 47.79 Retail sale of second-hand goods</v>
      </c>
      <c r="K617" t="s">
        <v>2930</v>
      </c>
    </row>
    <row r="618" spans="1:11" x14ac:dyDescent="0.35">
      <c r="A618" s="328" t="s">
        <v>1562</v>
      </c>
      <c r="B618" t="s">
        <v>1563</v>
      </c>
      <c r="C618" s="329"/>
      <c r="D618" s="328" t="str">
        <f t="shared" si="13"/>
        <v>NACE G - 47.8 Retail sale of motor vehicles, motorcycles and related parts and accessories</v>
      </c>
      <c r="K618" t="s">
        <v>3197</v>
      </c>
    </row>
    <row r="619" spans="1:11" x14ac:dyDescent="0.35">
      <c r="A619" s="329" t="s">
        <v>1564</v>
      </c>
      <c r="B619" t="s">
        <v>1565</v>
      </c>
      <c r="C619" s="329"/>
      <c r="D619" s="329" t="str">
        <f t="shared" si="13"/>
        <v>NACE G - 47.81 Retail sale of motor vehicles</v>
      </c>
      <c r="K619" t="s">
        <v>3198</v>
      </c>
    </row>
    <row r="620" spans="1:11" x14ac:dyDescent="0.35">
      <c r="A620" s="329" t="s">
        <v>1566</v>
      </c>
      <c r="B620" t="s">
        <v>1567</v>
      </c>
      <c r="C620" s="329"/>
      <c r="D620" s="329" t="str">
        <f t="shared" si="13"/>
        <v>NACE G - 47.82 Retail sale of motor vehicle parts and accessories</v>
      </c>
      <c r="K620" t="s">
        <v>3199</v>
      </c>
    </row>
    <row r="621" spans="1:11" x14ac:dyDescent="0.35">
      <c r="A621" s="329" t="s">
        <v>1568</v>
      </c>
      <c r="B621" t="s">
        <v>1569</v>
      </c>
      <c r="C621" s="329"/>
      <c r="D621" s="329" t="str">
        <f t="shared" si="13"/>
        <v>NACE G - 47.83 Retail sale of motorcycles, motorcycle parts and accessories</v>
      </c>
      <c r="K621" t="s">
        <v>3200</v>
      </c>
    </row>
    <row r="622" spans="1:11" x14ac:dyDescent="0.35">
      <c r="A622" s="328" t="s">
        <v>1570</v>
      </c>
      <c r="B622" t="s">
        <v>1571</v>
      </c>
      <c r="C622" s="329"/>
      <c r="D622" s="328" t="str">
        <f t="shared" si="13"/>
        <v>NACE G - 47.9 Intermediation service activities for retail sale</v>
      </c>
      <c r="K622" t="s">
        <v>3201</v>
      </c>
    </row>
    <row r="623" spans="1:11" x14ac:dyDescent="0.35">
      <c r="A623" s="329" t="s">
        <v>1572</v>
      </c>
      <c r="B623" t="s">
        <v>1573</v>
      </c>
      <c r="C623" s="329"/>
      <c r="D623" s="329" t="str">
        <f t="shared" si="13"/>
        <v>NACE G - 47.91 Intermediation service activities for non-specialised retail sale</v>
      </c>
      <c r="K623" t="s">
        <v>2755</v>
      </c>
    </row>
    <row r="624" spans="1:11" x14ac:dyDescent="0.35">
      <c r="A624" s="329" t="s">
        <v>1574</v>
      </c>
      <c r="B624" t="s">
        <v>1575</v>
      </c>
      <c r="C624" s="329"/>
      <c r="D624" s="329" t="str">
        <f t="shared" si="13"/>
        <v>NACE G - 47.92 Intermediation service activities for specialised retail sale</v>
      </c>
      <c r="K624" t="s">
        <v>3202</v>
      </c>
    </row>
    <row r="625" spans="1:11" x14ac:dyDescent="0.35">
      <c r="A625" s="326" t="s">
        <v>1576</v>
      </c>
      <c r="B625" t="s">
        <v>1577</v>
      </c>
      <c r="C625" s="329"/>
      <c r="D625" s="326" t="str">
        <f t="shared" si="13"/>
        <v>NACE H - TRANSPORTATION AND STORAGE</v>
      </c>
      <c r="K625" t="s">
        <v>2756</v>
      </c>
    </row>
    <row r="626" spans="1:11" x14ac:dyDescent="0.35">
      <c r="A626" s="325" t="s">
        <v>1578</v>
      </c>
      <c r="B626" t="s">
        <v>1579</v>
      </c>
      <c r="C626" s="329"/>
      <c r="D626" s="325" t="str">
        <f t="shared" si="13"/>
        <v>NACE H - 49 Land transport and transport via pipelines</v>
      </c>
      <c r="K626" t="s">
        <v>2931</v>
      </c>
    </row>
    <row r="627" spans="1:11" x14ac:dyDescent="0.35">
      <c r="A627" s="328" t="s">
        <v>1580</v>
      </c>
      <c r="B627" t="s">
        <v>1581</v>
      </c>
      <c r="C627" s="329"/>
      <c r="D627" s="328" t="str">
        <f t="shared" si="13"/>
        <v>NACE H - 49.1 Passenger rail transport</v>
      </c>
      <c r="K627" t="s">
        <v>2757</v>
      </c>
    </row>
    <row r="628" spans="1:11" x14ac:dyDescent="0.35">
      <c r="A628" s="329" t="s">
        <v>1582</v>
      </c>
      <c r="B628" t="s">
        <v>1583</v>
      </c>
      <c r="C628" s="329"/>
      <c r="D628" s="329" t="str">
        <f t="shared" si="13"/>
        <v>NACE H - 49.11 Passenger heavy rail transport</v>
      </c>
      <c r="K628" t="s">
        <v>2758</v>
      </c>
    </row>
    <row r="629" spans="1:11" x14ac:dyDescent="0.35">
      <c r="A629" s="329" t="s">
        <v>1584</v>
      </c>
      <c r="B629" t="s">
        <v>1585</v>
      </c>
      <c r="C629" s="329"/>
      <c r="D629" s="329" t="str">
        <f t="shared" si="13"/>
        <v>NACE H - 49.12 Other passenger rail transport</v>
      </c>
      <c r="K629" t="s">
        <v>2932</v>
      </c>
    </row>
    <row r="630" spans="1:11" x14ac:dyDescent="0.35">
      <c r="A630" s="328" t="s">
        <v>1586</v>
      </c>
      <c r="B630" t="s">
        <v>1587</v>
      </c>
      <c r="C630" s="329"/>
      <c r="D630" s="328" t="str">
        <f t="shared" si="13"/>
        <v>NACE H - 49.2 Freight rail transport</v>
      </c>
      <c r="K630" t="s">
        <v>3203</v>
      </c>
    </row>
    <row r="631" spans="1:11" x14ac:dyDescent="0.35">
      <c r="A631" s="329" t="s">
        <v>1588</v>
      </c>
      <c r="B631" t="s">
        <v>1589</v>
      </c>
      <c r="C631" s="329"/>
      <c r="D631" s="329" t="str">
        <f t="shared" si="13"/>
        <v>NACE H - 49.20 Freight rail transport</v>
      </c>
      <c r="K631" t="s">
        <v>3204</v>
      </c>
    </row>
    <row r="632" spans="1:11" x14ac:dyDescent="0.35">
      <c r="A632" s="328" t="s">
        <v>1590</v>
      </c>
      <c r="B632" t="s">
        <v>1591</v>
      </c>
      <c r="C632" s="329"/>
      <c r="D632" s="328" t="str">
        <f t="shared" si="13"/>
        <v>NACE H - 49.3 Other passenger land transport</v>
      </c>
      <c r="K632" t="s">
        <v>3205</v>
      </c>
    </row>
    <row r="633" spans="1:11" x14ac:dyDescent="0.35">
      <c r="A633" s="329" t="s">
        <v>1592</v>
      </c>
      <c r="B633" t="s">
        <v>1593</v>
      </c>
      <c r="C633" s="329"/>
      <c r="D633" s="329" t="str">
        <f t="shared" si="13"/>
        <v>NACE H - 49.31 Scheduled passenger transport by road</v>
      </c>
      <c r="K633" t="s">
        <v>2933</v>
      </c>
    </row>
    <row r="634" spans="1:11" x14ac:dyDescent="0.35">
      <c r="A634" s="329" t="s">
        <v>1594</v>
      </c>
      <c r="B634" t="s">
        <v>1595</v>
      </c>
      <c r="C634" s="329"/>
      <c r="D634" s="329" t="str">
        <f t="shared" si="13"/>
        <v>NACE H - 49.32 Non-scheduled passenger transport by road</v>
      </c>
      <c r="K634" t="s">
        <v>2759</v>
      </c>
    </row>
    <row r="635" spans="1:11" x14ac:dyDescent="0.35">
      <c r="A635" s="329" t="s">
        <v>1596</v>
      </c>
      <c r="B635" t="s">
        <v>1597</v>
      </c>
      <c r="C635" s="329"/>
      <c r="D635" s="329" t="str">
        <f t="shared" si="13"/>
        <v>NACE H - 49.33 On-demand passenger transport service activities by vehicle with driver</v>
      </c>
      <c r="K635" t="s">
        <v>2760</v>
      </c>
    </row>
    <row r="636" spans="1:11" x14ac:dyDescent="0.35">
      <c r="A636" s="329" t="s">
        <v>1598</v>
      </c>
      <c r="B636" t="s">
        <v>1599</v>
      </c>
      <c r="C636" s="329"/>
      <c r="D636" s="329" t="str">
        <f t="shared" si="13"/>
        <v>NACE H - 49.34 Passenger transport by cableways and ski lifts</v>
      </c>
      <c r="K636" t="s">
        <v>2761</v>
      </c>
    </row>
    <row r="637" spans="1:11" x14ac:dyDescent="0.35">
      <c r="A637" s="329" t="s">
        <v>1600</v>
      </c>
      <c r="B637" t="s">
        <v>1601</v>
      </c>
      <c r="C637" s="329"/>
      <c r="D637" s="329" t="str">
        <f t="shared" si="13"/>
        <v>NACE H - 49.39 Other passenger land transport n.e.c.</v>
      </c>
      <c r="K637" t="s">
        <v>2934</v>
      </c>
    </row>
    <row r="638" spans="1:11" x14ac:dyDescent="0.35">
      <c r="A638" s="328" t="s">
        <v>1602</v>
      </c>
      <c r="B638" t="s">
        <v>1603</v>
      </c>
      <c r="C638" s="329"/>
      <c r="D638" s="328" t="str">
        <f t="shared" si="13"/>
        <v>NACE H - 49.4 Freight transport by road and removal services</v>
      </c>
      <c r="K638" t="s">
        <v>3206</v>
      </c>
    </row>
    <row r="639" spans="1:11" x14ac:dyDescent="0.35">
      <c r="A639" s="329" t="s">
        <v>1604</v>
      </c>
      <c r="B639" t="s">
        <v>1605</v>
      </c>
      <c r="C639" s="329"/>
      <c r="D639" s="329" t="str">
        <f t="shared" si="13"/>
        <v>NACE H - 49.41 Freight transport by road</v>
      </c>
      <c r="K639" t="s">
        <v>3207</v>
      </c>
    </row>
    <row r="640" spans="1:11" x14ac:dyDescent="0.35">
      <c r="A640" s="329" t="s">
        <v>1606</v>
      </c>
      <c r="B640" t="s">
        <v>1607</v>
      </c>
      <c r="C640" s="329"/>
      <c r="D640" s="329" t="str">
        <f t="shared" si="13"/>
        <v>NACE H - 49.42 Removal services</v>
      </c>
      <c r="K640" t="s">
        <v>3208</v>
      </c>
    </row>
    <row r="641" spans="1:11" x14ac:dyDescent="0.35">
      <c r="A641" s="328" t="s">
        <v>1608</v>
      </c>
      <c r="B641" t="s">
        <v>1609</v>
      </c>
      <c r="C641" s="329"/>
      <c r="D641" s="328" t="str">
        <f t="shared" si="13"/>
        <v>NACE H - 49.5 Transport via pipeline</v>
      </c>
      <c r="K641" t="s">
        <v>2762</v>
      </c>
    </row>
    <row r="642" spans="1:11" x14ac:dyDescent="0.35">
      <c r="A642" s="329" t="s">
        <v>1610</v>
      </c>
      <c r="B642" t="s">
        <v>1611</v>
      </c>
      <c r="C642" s="329"/>
      <c r="D642" s="329" t="str">
        <f t="shared" ref="D642:D705" si="14">_xlfn.CONCAT("NACE ", A642)</f>
        <v>NACE H - 49.50 Transport via pipeline</v>
      </c>
      <c r="K642" t="s">
        <v>2763</v>
      </c>
    </row>
    <row r="643" spans="1:11" x14ac:dyDescent="0.35">
      <c r="A643" s="325" t="s">
        <v>1612</v>
      </c>
      <c r="B643" t="s">
        <v>1613</v>
      </c>
      <c r="C643" s="329"/>
      <c r="D643" s="325" t="str">
        <f t="shared" si="14"/>
        <v>NACE H - 50 Water transport</v>
      </c>
      <c r="K643" t="s">
        <v>3209</v>
      </c>
    </row>
    <row r="644" spans="1:11" x14ac:dyDescent="0.35">
      <c r="A644" s="328" t="s">
        <v>1614</v>
      </c>
      <c r="B644" t="s">
        <v>1615</v>
      </c>
      <c r="C644" s="329"/>
      <c r="D644" s="328" t="str">
        <f t="shared" si="14"/>
        <v>NACE H - 50.1 Sea and coastal passenger water transport</v>
      </c>
      <c r="K644" t="s">
        <v>2935</v>
      </c>
    </row>
    <row r="645" spans="1:11" x14ac:dyDescent="0.35">
      <c r="A645" s="329" t="s">
        <v>1616</v>
      </c>
      <c r="B645" t="s">
        <v>1617</v>
      </c>
      <c r="C645" s="329"/>
      <c r="D645" s="329" t="str">
        <f t="shared" si="14"/>
        <v>NACE H - 50.10 Sea and coastal passenger water transport</v>
      </c>
      <c r="K645" t="s">
        <v>3210</v>
      </c>
    </row>
    <row r="646" spans="1:11" x14ac:dyDescent="0.35">
      <c r="A646" s="328" t="s">
        <v>1618</v>
      </c>
      <c r="B646" t="s">
        <v>1619</v>
      </c>
      <c r="C646" s="329"/>
      <c r="D646" s="328" t="str">
        <f t="shared" si="14"/>
        <v>NACE H - 50.2 Sea and coastal freight water transport</v>
      </c>
      <c r="K646" t="s">
        <v>3211</v>
      </c>
    </row>
    <row r="647" spans="1:11" x14ac:dyDescent="0.35">
      <c r="A647" s="329" t="s">
        <v>1620</v>
      </c>
      <c r="B647" t="s">
        <v>1621</v>
      </c>
      <c r="C647" s="329"/>
      <c r="D647" s="329" t="str">
        <f t="shared" si="14"/>
        <v>NACE H - 50.20 Sea and coastal freight water transport</v>
      </c>
      <c r="K647" t="s">
        <v>3212</v>
      </c>
    </row>
    <row r="648" spans="1:11" x14ac:dyDescent="0.35">
      <c r="A648" s="328" t="s">
        <v>1622</v>
      </c>
      <c r="B648" t="s">
        <v>1623</v>
      </c>
      <c r="C648" s="329"/>
      <c r="D648" s="328" t="str">
        <f t="shared" si="14"/>
        <v>NACE H - 50.3 Inland passenger water transport</v>
      </c>
      <c r="K648" t="s">
        <v>3213</v>
      </c>
    </row>
    <row r="649" spans="1:11" x14ac:dyDescent="0.35">
      <c r="A649" s="329" t="s">
        <v>1624</v>
      </c>
      <c r="B649" t="s">
        <v>1625</v>
      </c>
      <c r="C649" s="329"/>
      <c r="D649" s="329" t="str">
        <f t="shared" si="14"/>
        <v>NACE H - 50.30 Inland passenger water transport</v>
      </c>
      <c r="K649" t="s">
        <v>3214</v>
      </c>
    </row>
    <row r="650" spans="1:11" x14ac:dyDescent="0.35">
      <c r="A650" s="328" t="s">
        <v>1626</v>
      </c>
      <c r="B650" t="s">
        <v>1627</v>
      </c>
      <c r="C650" s="329"/>
      <c r="D650" s="328" t="str">
        <f t="shared" si="14"/>
        <v>NACE H - 50.4 Inland freight water transport</v>
      </c>
      <c r="K650" t="s">
        <v>3215</v>
      </c>
    </row>
    <row r="651" spans="1:11" x14ac:dyDescent="0.35">
      <c r="A651" s="329" t="s">
        <v>1628</v>
      </c>
      <c r="B651" t="s">
        <v>1629</v>
      </c>
      <c r="C651" s="329"/>
      <c r="D651" s="329" t="str">
        <f t="shared" si="14"/>
        <v>NACE H - 50.40 Inland freight water transport</v>
      </c>
      <c r="K651" t="s">
        <v>2764</v>
      </c>
    </row>
    <row r="652" spans="1:11" x14ac:dyDescent="0.35">
      <c r="A652" s="325" t="s">
        <v>1630</v>
      </c>
      <c r="B652" t="s">
        <v>1631</v>
      </c>
      <c r="C652" s="329"/>
      <c r="D652" s="325" t="str">
        <f t="shared" si="14"/>
        <v>NACE H - 51 Air transport</v>
      </c>
      <c r="K652" t="s">
        <v>2765</v>
      </c>
    </row>
    <row r="653" spans="1:11" x14ac:dyDescent="0.35">
      <c r="A653" s="328" t="s">
        <v>1632</v>
      </c>
      <c r="B653" t="s">
        <v>1633</v>
      </c>
      <c r="C653" s="329"/>
      <c r="D653" s="328" t="str">
        <f t="shared" si="14"/>
        <v>NACE H - 51.1 Passenger air transport</v>
      </c>
      <c r="K653" t="s">
        <v>2936</v>
      </c>
    </row>
    <row r="654" spans="1:11" x14ac:dyDescent="0.35">
      <c r="A654" s="329" t="s">
        <v>1634</v>
      </c>
      <c r="B654" t="s">
        <v>1635</v>
      </c>
      <c r="C654" s="329"/>
      <c r="D654" s="329" t="str">
        <f t="shared" si="14"/>
        <v>NACE H - 51.10 Passenger air transport</v>
      </c>
      <c r="K654" t="s">
        <v>2766</v>
      </c>
    </row>
    <row r="655" spans="1:11" x14ac:dyDescent="0.35">
      <c r="A655" s="328" t="s">
        <v>1636</v>
      </c>
      <c r="B655" t="s">
        <v>1637</v>
      </c>
      <c r="C655" s="329"/>
      <c r="D655" s="328" t="str">
        <f t="shared" si="14"/>
        <v>NACE H - 51.2 Freight air transport and space transport</v>
      </c>
      <c r="K655" t="s">
        <v>3216</v>
      </c>
    </row>
    <row r="656" spans="1:11" x14ac:dyDescent="0.35">
      <c r="A656" s="329" t="s">
        <v>1638</v>
      </c>
      <c r="B656" t="s">
        <v>1639</v>
      </c>
      <c r="C656" s="329"/>
      <c r="D656" s="329" t="str">
        <f t="shared" si="14"/>
        <v>NACE H - 51.21 Freight air transport</v>
      </c>
      <c r="K656" t="s">
        <v>2767</v>
      </c>
    </row>
    <row r="657" spans="1:11" x14ac:dyDescent="0.35">
      <c r="A657" s="329" t="s">
        <v>1640</v>
      </c>
      <c r="B657" t="s">
        <v>1641</v>
      </c>
      <c r="C657" s="329"/>
      <c r="D657" s="329" t="str">
        <f t="shared" si="14"/>
        <v>NACE H - 51.22 Space transport</v>
      </c>
      <c r="K657" t="s">
        <v>2768</v>
      </c>
    </row>
    <row r="658" spans="1:11" x14ac:dyDescent="0.35">
      <c r="A658" s="325" t="s">
        <v>1642</v>
      </c>
      <c r="B658" t="s">
        <v>1643</v>
      </c>
      <c r="C658" s="329"/>
      <c r="D658" s="325" t="str">
        <f t="shared" si="14"/>
        <v>NACE H - 52 Warehousing, storage and support activities for transportation</v>
      </c>
      <c r="K658" t="s">
        <v>3217</v>
      </c>
    </row>
    <row r="659" spans="1:11" x14ac:dyDescent="0.35">
      <c r="A659" s="328" t="s">
        <v>1644</v>
      </c>
      <c r="B659" t="s">
        <v>1645</v>
      </c>
      <c r="C659" s="329"/>
      <c r="D659" s="328" t="str">
        <f t="shared" si="14"/>
        <v>NACE H - 52.1 Warehousing and storage</v>
      </c>
      <c r="K659" t="s">
        <v>3218</v>
      </c>
    </row>
    <row r="660" spans="1:11" x14ac:dyDescent="0.35">
      <c r="A660" s="329" t="s">
        <v>1646</v>
      </c>
      <c r="B660" t="s">
        <v>1647</v>
      </c>
      <c r="C660" s="329"/>
      <c r="D660" s="329" t="str">
        <f t="shared" si="14"/>
        <v>NACE H - 52.10 Warehousing and storage</v>
      </c>
      <c r="K660" t="s">
        <v>3219</v>
      </c>
    </row>
    <row r="661" spans="1:11" x14ac:dyDescent="0.35">
      <c r="A661" s="328" t="s">
        <v>1648</v>
      </c>
      <c r="B661" t="s">
        <v>1649</v>
      </c>
      <c r="C661" s="329"/>
      <c r="D661" s="328" t="str">
        <f t="shared" si="14"/>
        <v>NACE H - 52.2 Support activities for transportation</v>
      </c>
      <c r="K661" t="s">
        <v>2454</v>
      </c>
    </row>
    <row r="662" spans="1:11" x14ac:dyDescent="0.35">
      <c r="A662" s="329" t="s">
        <v>1650</v>
      </c>
      <c r="B662" t="s">
        <v>1651</v>
      </c>
      <c r="C662" s="329"/>
      <c r="D662" s="329" t="str">
        <f t="shared" si="14"/>
        <v>NACE H - 52.21 Service activities incidental to land transportation</v>
      </c>
      <c r="K662" t="s">
        <v>2937</v>
      </c>
    </row>
    <row r="663" spans="1:11" x14ac:dyDescent="0.35">
      <c r="A663" s="329" t="s">
        <v>1652</v>
      </c>
      <c r="B663" t="s">
        <v>1653</v>
      </c>
      <c r="C663" s="329"/>
      <c r="D663" s="329" t="str">
        <f t="shared" si="14"/>
        <v>NACE H - 52.22 Service activities incidental to water transportation</v>
      </c>
      <c r="K663" t="s">
        <v>2769</v>
      </c>
    </row>
    <row r="664" spans="1:11" x14ac:dyDescent="0.35">
      <c r="A664" s="329" t="s">
        <v>1654</v>
      </c>
      <c r="B664" t="s">
        <v>1655</v>
      </c>
      <c r="C664" s="329"/>
      <c r="D664" s="329" t="str">
        <f t="shared" si="14"/>
        <v>NACE H - 52.23 Service activities incidental to air transportation</v>
      </c>
      <c r="K664" t="s">
        <v>2770</v>
      </c>
    </row>
    <row r="665" spans="1:11" x14ac:dyDescent="0.35">
      <c r="A665" s="329" t="s">
        <v>1656</v>
      </c>
      <c r="B665" t="s">
        <v>1657</v>
      </c>
      <c r="C665" s="329"/>
      <c r="D665" s="329" t="str">
        <f t="shared" si="14"/>
        <v>NACE H - 52.24 Cargo handling</v>
      </c>
      <c r="K665" t="s">
        <v>2771</v>
      </c>
    </row>
    <row r="666" spans="1:11" x14ac:dyDescent="0.35">
      <c r="A666" s="329" t="s">
        <v>1658</v>
      </c>
      <c r="B666" t="s">
        <v>1659</v>
      </c>
      <c r="C666" s="329"/>
      <c r="D666" s="329" t="str">
        <f t="shared" si="14"/>
        <v>NACE H - 52.25 Logistics service activities</v>
      </c>
      <c r="K666" t="s">
        <v>2772</v>
      </c>
    </row>
    <row r="667" spans="1:11" x14ac:dyDescent="0.35">
      <c r="A667" s="329" t="s">
        <v>1660</v>
      </c>
      <c r="B667" t="s">
        <v>1661</v>
      </c>
      <c r="C667" s="329"/>
      <c r="D667" s="329" t="str">
        <f t="shared" si="14"/>
        <v>NACE H - 52.26 Other support activities for transportation</v>
      </c>
      <c r="K667" t="s">
        <v>2773</v>
      </c>
    </row>
    <row r="668" spans="1:11" x14ac:dyDescent="0.35">
      <c r="A668" s="328" t="s">
        <v>1662</v>
      </c>
      <c r="B668" t="s">
        <v>1663</v>
      </c>
      <c r="C668" s="329"/>
      <c r="D668" s="328" t="str">
        <f t="shared" si="14"/>
        <v>NACE H - 52.3 Intermediation service activities for transportation</v>
      </c>
      <c r="K668" t="s">
        <v>2938</v>
      </c>
    </row>
    <row r="669" spans="1:11" x14ac:dyDescent="0.35">
      <c r="A669" s="329" t="s">
        <v>1664</v>
      </c>
      <c r="B669" t="s">
        <v>1665</v>
      </c>
      <c r="C669" s="329"/>
      <c r="D669" s="329" t="str">
        <f t="shared" si="14"/>
        <v>NACE H - 52.31 Intermediation service activities for freight transportation</v>
      </c>
      <c r="K669" t="s">
        <v>2774</v>
      </c>
    </row>
    <row r="670" spans="1:11" x14ac:dyDescent="0.35">
      <c r="A670" s="329" t="s">
        <v>1666</v>
      </c>
      <c r="B670" t="s">
        <v>1667</v>
      </c>
      <c r="C670" s="329"/>
      <c r="D670" s="329" t="str">
        <f t="shared" si="14"/>
        <v>NACE H - 52.32 Intermediation service activities for passenger transportation</v>
      </c>
      <c r="K670" t="s">
        <v>2775</v>
      </c>
    </row>
    <row r="671" spans="1:11" x14ac:dyDescent="0.35">
      <c r="A671" s="325" t="s">
        <v>1668</v>
      </c>
      <c r="B671" t="s">
        <v>1669</v>
      </c>
      <c r="C671" s="329"/>
      <c r="D671" s="325" t="str">
        <f t="shared" si="14"/>
        <v>NACE H - 53 Postal and courier activities</v>
      </c>
      <c r="K671" t="s">
        <v>2776</v>
      </c>
    </row>
    <row r="672" spans="1:11" x14ac:dyDescent="0.35">
      <c r="A672" s="328" t="s">
        <v>1670</v>
      </c>
      <c r="B672" t="s">
        <v>1671</v>
      </c>
      <c r="C672" s="329"/>
      <c r="D672" s="328" t="str">
        <f t="shared" si="14"/>
        <v>NACE H - 53.1 Postal activities under universal service obligation</v>
      </c>
      <c r="K672" t="s">
        <v>2939</v>
      </c>
    </row>
    <row r="673" spans="1:11" x14ac:dyDescent="0.35">
      <c r="A673" s="329" t="s">
        <v>1672</v>
      </c>
      <c r="B673" t="s">
        <v>1673</v>
      </c>
      <c r="C673" s="329"/>
      <c r="D673" s="329" t="str">
        <f t="shared" si="14"/>
        <v>NACE H - 53.10 Postal activities under universal service obligation</v>
      </c>
      <c r="K673" t="s">
        <v>2777</v>
      </c>
    </row>
    <row r="674" spans="1:11" x14ac:dyDescent="0.35">
      <c r="A674" s="328" t="s">
        <v>1674</v>
      </c>
      <c r="B674" t="s">
        <v>1675</v>
      </c>
      <c r="C674" s="329"/>
      <c r="D674" s="328" t="str">
        <f t="shared" si="14"/>
        <v>NACE H - 53.2 Other postal and courier activities</v>
      </c>
      <c r="K674" t="s">
        <v>2778</v>
      </c>
    </row>
    <row r="675" spans="1:11" x14ac:dyDescent="0.35">
      <c r="A675" s="329" t="s">
        <v>1676</v>
      </c>
      <c r="B675" t="s">
        <v>1677</v>
      </c>
      <c r="C675" s="329"/>
      <c r="D675" s="329" t="str">
        <f t="shared" si="14"/>
        <v>NACE H - 53.20 Other postal and courier activities</v>
      </c>
      <c r="K675" t="s">
        <v>2779</v>
      </c>
    </row>
    <row r="676" spans="1:11" x14ac:dyDescent="0.35">
      <c r="A676" s="328" t="s">
        <v>1678</v>
      </c>
      <c r="B676" t="s">
        <v>1679</v>
      </c>
      <c r="C676" s="329"/>
      <c r="D676" s="328" t="str">
        <f t="shared" si="14"/>
        <v>NACE H - 53.3 Intermediation service activities for postal and courier activities</v>
      </c>
      <c r="K676" t="s">
        <v>2940</v>
      </c>
    </row>
    <row r="677" spans="1:11" x14ac:dyDescent="0.35">
      <c r="A677" s="329" t="s">
        <v>1680</v>
      </c>
      <c r="B677" t="s">
        <v>1681</v>
      </c>
      <c r="C677" s="329"/>
      <c r="D677" s="329" t="str">
        <f t="shared" si="14"/>
        <v>NACE H - 53.30 Intermediation service activities for postal and courier activities</v>
      </c>
      <c r="K677" t="s">
        <v>2780</v>
      </c>
    </row>
    <row r="678" spans="1:11" x14ac:dyDescent="0.35">
      <c r="A678" s="326" t="s">
        <v>1682</v>
      </c>
      <c r="B678" t="s">
        <v>1683</v>
      </c>
      <c r="C678" s="329"/>
      <c r="D678" s="326" t="str">
        <f t="shared" si="14"/>
        <v>NACE I - ACCOMMODATION AND FOOD SERVICE ACTIVITIES</v>
      </c>
      <c r="K678" t="s">
        <v>2781</v>
      </c>
    </row>
    <row r="679" spans="1:11" x14ac:dyDescent="0.35">
      <c r="A679" s="325" t="s">
        <v>1684</v>
      </c>
      <c r="B679" t="s">
        <v>1685</v>
      </c>
      <c r="C679" s="329"/>
      <c r="D679" s="325" t="str">
        <f t="shared" si="14"/>
        <v>NACE I - 55 Accommodation</v>
      </c>
      <c r="K679" t="s">
        <v>2782</v>
      </c>
    </row>
    <row r="680" spans="1:11" x14ac:dyDescent="0.35">
      <c r="A680" s="328" t="s">
        <v>1686</v>
      </c>
      <c r="B680" t="s">
        <v>1687</v>
      </c>
      <c r="C680" s="329"/>
      <c r="D680" s="328" t="str">
        <f t="shared" si="14"/>
        <v>NACE I - 55.1 Hotels and similar accommodation</v>
      </c>
      <c r="K680" t="s">
        <v>2783</v>
      </c>
    </row>
    <row r="681" spans="1:11" x14ac:dyDescent="0.35">
      <c r="A681" s="329" t="s">
        <v>1688</v>
      </c>
      <c r="B681" t="s">
        <v>1689</v>
      </c>
      <c r="C681" s="329"/>
      <c r="D681" s="329" t="str">
        <f t="shared" si="14"/>
        <v>NACE I - 55.10 Hotels and similar accommodation</v>
      </c>
      <c r="K681" t="s">
        <v>2784</v>
      </c>
    </row>
    <row r="682" spans="1:11" x14ac:dyDescent="0.35">
      <c r="A682" s="328" t="s">
        <v>1690</v>
      </c>
      <c r="B682" t="s">
        <v>1691</v>
      </c>
      <c r="C682" s="329"/>
      <c r="D682" s="328" t="str">
        <f t="shared" si="14"/>
        <v>NACE I - 55.2 Holiday and other short-stay accommodation</v>
      </c>
      <c r="K682" t="s">
        <v>2785</v>
      </c>
    </row>
    <row r="683" spans="1:11" x14ac:dyDescent="0.35">
      <c r="A683" s="329" t="s">
        <v>1692</v>
      </c>
      <c r="B683" t="s">
        <v>1693</v>
      </c>
      <c r="C683" s="329"/>
      <c r="D683" s="329" t="str">
        <f t="shared" si="14"/>
        <v>NACE I - 55.20 Holiday and other short-stay accommodation</v>
      </c>
      <c r="K683" t="s">
        <v>2786</v>
      </c>
    </row>
    <row r="684" spans="1:11" x14ac:dyDescent="0.35">
      <c r="A684" s="328" t="s">
        <v>1694</v>
      </c>
      <c r="B684" t="s">
        <v>1695</v>
      </c>
      <c r="C684" s="329"/>
      <c r="D684" s="328" t="str">
        <f t="shared" si="14"/>
        <v>NACE I - 55.3 Camping grounds and recreational vehicle parks</v>
      </c>
      <c r="K684" t="s">
        <v>2787</v>
      </c>
    </row>
    <row r="685" spans="1:11" x14ac:dyDescent="0.35">
      <c r="A685" s="329" t="s">
        <v>1696</v>
      </c>
      <c r="B685" t="s">
        <v>1697</v>
      </c>
      <c r="C685" s="329"/>
      <c r="D685" s="329" t="str">
        <f t="shared" si="14"/>
        <v>NACE I - 55.30 Camping grounds and recreational vehicle parks</v>
      </c>
      <c r="K685" t="s">
        <v>2941</v>
      </c>
    </row>
    <row r="686" spans="1:11" x14ac:dyDescent="0.35">
      <c r="A686" s="328" t="s">
        <v>1698</v>
      </c>
      <c r="B686" t="s">
        <v>1699</v>
      </c>
      <c r="C686" s="329"/>
      <c r="D686" s="328" t="str">
        <f t="shared" si="14"/>
        <v>NACE I - 55.4 Intermediation service activities for accommodation</v>
      </c>
      <c r="K686" t="s">
        <v>3220</v>
      </c>
    </row>
    <row r="687" spans="1:11" x14ac:dyDescent="0.35">
      <c r="A687" s="329" t="s">
        <v>1700</v>
      </c>
      <c r="B687" t="s">
        <v>1701</v>
      </c>
      <c r="C687" s="329"/>
      <c r="D687" s="329" t="str">
        <f t="shared" si="14"/>
        <v>NACE I - 55.40 Intermediation service activities for accommodation</v>
      </c>
      <c r="K687" t="s">
        <v>2788</v>
      </c>
    </row>
    <row r="688" spans="1:11" x14ac:dyDescent="0.35">
      <c r="A688" s="328" t="s">
        <v>1702</v>
      </c>
      <c r="B688" t="s">
        <v>1703</v>
      </c>
      <c r="C688" s="329"/>
      <c r="D688" s="328" t="str">
        <f t="shared" si="14"/>
        <v>NACE I - 55.9 Other accommodation</v>
      </c>
      <c r="K688" t="s">
        <v>3221</v>
      </c>
    </row>
    <row r="689" spans="1:11" x14ac:dyDescent="0.35">
      <c r="A689" s="329" t="s">
        <v>1704</v>
      </c>
      <c r="B689" t="s">
        <v>1705</v>
      </c>
      <c r="C689" s="329"/>
      <c r="D689" s="329" t="str">
        <f t="shared" si="14"/>
        <v>NACE I - 55.90 Other accommodation</v>
      </c>
      <c r="K689" t="s">
        <v>2789</v>
      </c>
    </row>
    <row r="690" spans="1:11" x14ac:dyDescent="0.35">
      <c r="A690" s="325" t="s">
        <v>1706</v>
      </c>
      <c r="B690" t="s">
        <v>1707</v>
      </c>
      <c r="C690" s="329"/>
      <c r="D690" s="325" t="str">
        <f t="shared" si="14"/>
        <v>NACE I - 56 Food and beverage service activities</v>
      </c>
      <c r="K690" t="s">
        <v>2942</v>
      </c>
    </row>
    <row r="691" spans="1:11" x14ac:dyDescent="0.35">
      <c r="A691" s="328" t="s">
        <v>1708</v>
      </c>
      <c r="B691" t="s">
        <v>1709</v>
      </c>
      <c r="C691" s="329"/>
      <c r="D691" s="328" t="str">
        <f t="shared" si="14"/>
        <v>NACE I - 56.1 Restaurants and mobile food service activities</v>
      </c>
      <c r="K691" t="s">
        <v>3222</v>
      </c>
    </row>
    <row r="692" spans="1:11" x14ac:dyDescent="0.35">
      <c r="A692" s="329" t="s">
        <v>1710</v>
      </c>
      <c r="B692" t="s">
        <v>1711</v>
      </c>
      <c r="C692" s="329"/>
      <c r="D692" s="329" t="str">
        <f t="shared" si="14"/>
        <v>NACE I - 56.11 Restaurant activities</v>
      </c>
      <c r="K692" t="s">
        <v>2790</v>
      </c>
    </row>
    <row r="693" spans="1:11" x14ac:dyDescent="0.35">
      <c r="A693" s="329" t="s">
        <v>1712</v>
      </c>
      <c r="B693" t="s">
        <v>1713</v>
      </c>
      <c r="C693" s="329"/>
      <c r="D693" s="329" t="str">
        <f t="shared" si="14"/>
        <v>NACE I - 56.12 Mobile food service activities</v>
      </c>
      <c r="K693" t="s">
        <v>2943</v>
      </c>
    </row>
    <row r="694" spans="1:11" x14ac:dyDescent="0.35">
      <c r="A694" s="328" t="s">
        <v>1714</v>
      </c>
      <c r="B694" t="s">
        <v>1715</v>
      </c>
      <c r="C694" s="329"/>
      <c r="D694" s="328" t="str">
        <f t="shared" si="14"/>
        <v>NACE I - 56.2 Event catering, contract catering service activities and other food service activities</v>
      </c>
      <c r="K694" t="s">
        <v>3223</v>
      </c>
    </row>
    <row r="695" spans="1:11" x14ac:dyDescent="0.35">
      <c r="A695" s="329" t="s">
        <v>1716</v>
      </c>
      <c r="B695" t="s">
        <v>1717</v>
      </c>
      <c r="C695" s="329"/>
      <c r="D695" s="329" t="str">
        <f t="shared" si="14"/>
        <v>NACE I - 56.21 Event catering activities</v>
      </c>
      <c r="K695" t="s">
        <v>2966</v>
      </c>
    </row>
    <row r="696" spans="1:11" x14ac:dyDescent="0.35">
      <c r="A696" s="329" t="s">
        <v>1718</v>
      </c>
      <c r="B696" t="s">
        <v>1719</v>
      </c>
      <c r="C696" s="329"/>
      <c r="D696" s="329" t="str">
        <f t="shared" si="14"/>
        <v>NACE I - 56.22 Contract catering service activities and other food service activities</v>
      </c>
      <c r="K696" t="s">
        <v>2455</v>
      </c>
    </row>
    <row r="697" spans="1:11" x14ac:dyDescent="0.35">
      <c r="A697" s="328" t="s">
        <v>1720</v>
      </c>
      <c r="B697" t="s">
        <v>1721</v>
      </c>
      <c r="C697" s="329"/>
      <c r="D697" s="328" t="str">
        <f t="shared" si="14"/>
        <v>NACE I - 56.3 Beverage serving activities</v>
      </c>
      <c r="K697" t="s">
        <v>2944</v>
      </c>
    </row>
    <row r="698" spans="1:11" x14ac:dyDescent="0.35">
      <c r="A698" s="329" t="s">
        <v>1722</v>
      </c>
      <c r="B698" t="s">
        <v>1723</v>
      </c>
      <c r="C698" s="329"/>
      <c r="D698" s="329" t="str">
        <f t="shared" si="14"/>
        <v>NACE I - 56.30 Beverage serving activities</v>
      </c>
      <c r="K698" t="s">
        <v>2791</v>
      </c>
    </row>
    <row r="699" spans="1:11" x14ac:dyDescent="0.35">
      <c r="A699" s="328" t="s">
        <v>1724</v>
      </c>
      <c r="B699" t="s">
        <v>1725</v>
      </c>
      <c r="C699" s="329"/>
      <c r="D699" s="328" t="str">
        <f t="shared" si="14"/>
        <v>NACE I - 56.4 Intermediation service activities for food and beverage services activities</v>
      </c>
      <c r="K699" t="s">
        <v>2792</v>
      </c>
    </row>
    <row r="700" spans="1:11" x14ac:dyDescent="0.35">
      <c r="A700" s="329" t="s">
        <v>1726</v>
      </c>
      <c r="B700" t="s">
        <v>1727</v>
      </c>
      <c r="C700" s="329"/>
      <c r="D700" s="329" t="str">
        <f t="shared" si="14"/>
        <v>NACE I - 56.40 Intermediation service activities for food and beverage services activities</v>
      </c>
      <c r="K700" t="s">
        <v>3224</v>
      </c>
    </row>
    <row r="701" spans="1:11" x14ac:dyDescent="0.35">
      <c r="A701" s="326" t="s">
        <v>1728</v>
      </c>
      <c r="B701" t="s">
        <v>1729</v>
      </c>
      <c r="C701" s="329"/>
      <c r="D701" s="326" t="str">
        <f t="shared" si="14"/>
        <v>NACE J - PUBLISHING, BROADCASTING, AND CONTENT PRODUCTION AND DISTRIBUTION ACTIVITIES</v>
      </c>
      <c r="K701" t="s">
        <v>2793</v>
      </c>
    </row>
    <row r="702" spans="1:11" x14ac:dyDescent="0.35">
      <c r="A702" s="325" t="s">
        <v>1730</v>
      </c>
      <c r="B702" t="s">
        <v>1731</v>
      </c>
      <c r="C702" s="329"/>
      <c r="D702" s="325" t="str">
        <f t="shared" si="14"/>
        <v>NACE J - 58 Publishing activities</v>
      </c>
      <c r="K702" t="s">
        <v>3225</v>
      </c>
    </row>
    <row r="703" spans="1:11" x14ac:dyDescent="0.35">
      <c r="A703" s="328" t="s">
        <v>1732</v>
      </c>
      <c r="B703" t="s">
        <v>1733</v>
      </c>
      <c r="C703" s="329"/>
      <c r="D703" s="328" t="str">
        <f t="shared" si="14"/>
        <v>NACE J - 58.1 Publishing of books, newspapers and other publishing activities, except software publishing</v>
      </c>
      <c r="K703" t="s">
        <v>2967</v>
      </c>
    </row>
    <row r="704" spans="1:11" x14ac:dyDescent="0.35">
      <c r="A704" s="329" t="s">
        <v>1734</v>
      </c>
      <c r="B704" t="s">
        <v>1735</v>
      </c>
      <c r="C704" s="329"/>
      <c r="D704" s="329" t="str">
        <f t="shared" si="14"/>
        <v>NACE J - 58.11 Publishing of books</v>
      </c>
      <c r="K704" t="s">
        <v>3226</v>
      </c>
    </row>
    <row r="705" spans="1:11" x14ac:dyDescent="0.35">
      <c r="A705" s="329" t="s">
        <v>1736</v>
      </c>
      <c r="B705" t="s">
        <v>1737</v>
      </c>
      <c r="C705" s="329"/>
      <c r="D705" s="329" t="str">
        <f t="shared" si="14"/>
        <v>NACE J - 58.12 Publishing of newspapers</v>
      </c>
      <c r="K705" t="s">
        <v>2968</v>
      </c>
    </row>
    <row r="706" spans="1:11" x14ac:dyDescent="0.35">
      <c r="A706" s="329" t="s">
        <v>1738</v>
      </c>
      <c r="B706" t="s">
        <v>1739</v>
      </c>
      <c r="C706" s="329"/>
      <c r="D706" s="329" t="str">
        <f t="shared" ref="D706:D769" si="15">_xlfn.CONCAT("NACE ", A706)</f>
        <v>NACE J - 58.13 Publishing of journals and periodicals</v>
      </c>
      <c r="K706" t="s">
        <v>3227</v>
      </c>
    </row>
    <row r="707" spans="1:11" x14ac:dyDescent="0.35">
      <c r="A707" s="329" t="s">
        <v>1740</v>
      </c>
      <c r="B707" t="s">
        <v>1741</v>
      </c>
      <c r="C707" s="329"/>
      <c r="D707" s="329" t="str">
        <f t="shared" si="15"/>
        <v>NACE J - 58.19 Other publishing activities, except software publishing</v>
      </c>
      <c r="K707" t="s">
        <v>2945</v>
      </c>
    </row>
    <row r="708" spans="1:11" x14ac:dyDescent="0.35">
      <c r="A708" s="328" t="s">
        <v>1742</v>
      </c>
      <c r="B708" t="s">
        <v>1743</v>
      </c>
      <c r="C708" s="329"/>
      <c r="D708" s="328" t="str">
        <f t="shared" si="15"/>
        <v>NACE J - 58.2 Software publishing</v>
      </c>
      <c r="K708" t="s">
        <v>2794</v>
      </c>
    </row>
    <row r="709" spans="1:11" x14ac:dyDescent="0.35">
      <c r="A709" s="329" t="s">
        <v>1744</v>
      </c>
      <c r="B709" t="s">
        <v>1745</v>
      </c>
      <c r="C709" s="329"/>
      <c r="D709" s="329" t="str">
        <f t="shared" si="15"/>
        <v>NACE J - 58.21 Publishing of video games</v>
      </c>
      <c r="K709" t="s">
        <v>3228</v>
      </c>
    </row>
    <row r="710" spans="1:11" x14ac:dyDescent="0.35">
      <c r="A710" s="329" t="s">
        <v>1746</v>
      </c>
      <c r="B710" t="s">
        <v>1747</v>
      </c>
      <c r="C710" s="329"/>
      <c r="D710" s="329" t="str">
        <f t="shared" si="15"/>
        <v>NACE J - 58.29 Other software publishing</v>
      </c>
      <c r="K710" t="s">
        <v>2795</v>
      </c>
    </row>
    <row r="711" spans="1:11" x14ac:dyDescent="0.35">
      <c r="A711" s="325" t="s">
        <v>1748</v>
      </c>
      <c r="B711" t="s">
        <v>1749</v>
      </c>
      <c r="C711" s="329"/>
      <c r="D711" s="325" t="str">
        <f t="shared" si="15"/>
        <v>NACE J - 59 Motion picture, video and television programme production, sound recording and music publishing activities</v>
      </c>
      <c r="K711" t="s">
        <v>3229</v>
      </c>
    </row>
    <row r="712" spans="1:11" x14ac:dyDescent="0.35">
      <c r="A712" s="328" t="s">
        <v>1750</v>
      </c>
      <c r="B712" t="s">
        <v>1751</v>
      </c>
      <c r="C712" s="329"/>
      <c r="D712" s="328" t="str">
        <f t="shared" si="15"/>
        <v>NACE J - 59.1 Motion picture, video and television programme activities</v>
      </c>
      <c r="K712" t="s">
        <v>2969</v>
      </c>
    </row>
    <row r="713" spans="1:11" x14ac:dyDescent="0.35">
      <c r="A713" s="329" t="s">
        <v>1752</v>
      </c>
      <c r="B713" t="s">
        <v>1753</v>
      </c>
      <c r="C713" s="329"/>
      <c r="D713" s="329" t="str">
        <f t="shared" si="15"/>
        <v>NACE J - 59.11 Motion picture, video and television programme production activities</v>
      </c>
      <c r="K713" t="s">
        <v>3230</v>
      </c>
    </row>
    <row r="714" spans="1:11" x14ac:dyDescent="0.35">
      <c r="A714" s="329" t="s">
        <v>1754</v>
      </c>
      <c r="B714" t="s">
        <v>1755</v>
      </c>
      <c r="C714" s="329"/>
      <c r="D714" s="329" t="str">
        <f t="shared" si="15"/>
        <v>NACE J - 59.12 Motion picture, video and television programme post-production activities</v>
      </c>
      <c r="K714" t="s">
        <v>2946</v>
      </c>
    </row>
    <row r="715" spans="1:11" x14ac:dyDescent="0.35">
      <c r="A715" s="329" t="s">
        <v>1756</v>
      </c>
      <c r="B715" t="s">
        <v>1757</v>
      </c>
      <c r="C715" s="329"/>
      <c r="D715" s="329" t="str">
        <f t="shared" si="15"/>
        <v>NACE J - 59.13 Motion picture and video distribution activities</v>
      </c>
      <c r="K715" t="s">
        <v>2456</v>
      </c>
    </row>
    <row r="716" spans="1:11" x14ac:dyDescent="0.35">
      <c r="A716" s="329" t="s">
        <v>1758</v>
      </c>
      <c r="B716" t="s">
        <v>1759</v>
      </c>
      <c r="C716" s="329"/>
      <c r="D716" s="329" t="str">
        <f t="shared" si="15"/>
        <v>NACE J - 59.14 Motion picture projection activities</v>
      </c>
      <c r="K716" t="s">
        <v>2947</v>
      </c>
    </row>
    <row r="717" spans="1:11" x14ac:dyDescent="0.35">
      <c r="A717" s="328" t="s">
        <v>1760</v>
      </c>
      <c r="B717" t="s">
        <v>1761</v>
      </c>
      <c r="C717" s="329"/>
      <c r="D717" s="328" t="str">
        <f t="shared" si="15"/>
        <v>NACE J - 59.2 Sound recording and music publishing activities</v>
      </c>
      <c r="K717" t="s">
        <v>2796</v>
      </c>
    </row>
    <row r="718" spans="1:11" x14ac:dyDescent="0.35">
      <c r="A718" s="329" t="s">
        <v>1762</v>
      </c>
      <c r="B718" t="s">
        <v>1763</v>
      </c>
      <c r="C718" s="329"/>
      <c r="D718" s="329" t="str">
        <f t="shared" si="15"/>
        <v>NACE J - 59.20 Sound recording and music publishing activities</v>
      </c>
      <c r="K718" t="s">
        <v>3231</v>
      </c>
    </row>
    <row r="719" spans="1:11" x14ac:dyDescent="0.35">
      <c r="A719" s="325" t="s">
        <v>1764</v>
      </c>
      <c r="B719" t="s">
        <v>1765</v>
      </c>
      <c r="C719" s="329"/>
      <c r="D719" s="325" t="str">
        <f t="shared" si="15"/>
        <v>NACE J - 60 Programming, broadcasting, news agency and other content distribution activities</v>
      </c>
      <c r="K719" t="s">
        <v>3232</v>
      </c>
    </row>
    <row r="720" spans="1:11" x14ac:dyDescent="0.35">
      <c r="A720" s="328" t="s">
        <v>1766</v>
      </c>
      <c r="B720" t="s">
        <v>1767</v>
      </c>
      <c r="C720" s="329"/>
      <c r="D720" s="328" t="str">
        <f t="shared" si="15"/>
        <v>NACE J - 60.1 Radio broadcasting and audio distribution activities</v>
      </c>
      <c r="K720" t="s">
        <v>3233</v>
      </c>
    </row>
    <row r="721" spans="1:11" x14ac:dyDescent="0.35">
      <c r="A721" s="329" t="s">
        <v>1768</v>
      </c>
      <c r="B721" t="s">
        <v>1769</v>
      </c>
      <c r="C721" s="329"/>
      <c r="D721" s="329" t="str">
        <f t="shared" si="15"/>
        <v>NACE J - 60.10 Radio broadcasting and audio distribution activities</v>
      </c>
      <c r="K721" t="s">
        <v>3234</v>
      </c>
    </row>
    <row r="722" spans="1:11" x14ac:dyDescent="0.35">
      <c r="A722" s="328" t="s">
        <v>1770</v>
      </c>
      <c r="B722" t="s">
        <v>1771</v>
      </c>
      <c r="C722" s="329"/>
      <c r="D722" s="328" t="str">
        <f t="shared" si="15"/>
        <v>NACE J - 60.2 Television programming, broadcasting and video distribution activities</v>
      </c>
      <c r="K722" t="s">
        <v>3235</v>
      </c>
    </row>
    <row r="723" spans="1:11" x14ac:dyDescent="0.35">
      <c r="A723" s="329" t="s">
        <v>1772</v>
      </c>
      <c r="B723" t="s">
        <v>1773</v>
      </c>
      <c r="C723" s="329"/>
      <c r="D723" s="329" t="str">
        <f t="shared" si="15"/>
        <v>NACE J - 60.20 Television programming, broadcasting and video distribution activities</v>
      </c>
      <c r="K723" t="s">
        <v>2970</v>
      </c>
    </row>
    <row r="724" spans="1:11" x14ac:dyDescent="0.35">
      <c r="A724" s="328" t="s">
        <v>1774</v>
      </c>
      <c r="B724" t="s">
        <v>1775</v>
      </c>
      <c r="C724" s="329"/>
      <c r="D724" s="328" t="str">
        <f t="shared" si="15"/>
        <v>NACE J - 60.3 News agency and other content distribution activities</v>
      </c>
      <c r="K724" t="s">
        <v>3236</v>
      </c>
    </row>
    <row r="725" spans="1:11" x14ac:dyDescent="0.35">
      <c r="A725" s="329" t="s">
        <v>1776</v>
      </c>
      <c r="B725" t="s">
        <v>1777</v>
      </c>
      <c r="C725" s="329"/>
      <c r="D725" s="329" t="str">
        <f t="shared" si="15"/>
        <v>NACE J - 60.31 News agency activities</v>
      </c>
      <c r="K725" t="s">
        <v>2971</v>
      </c>
    </row>
    <row r="726" spans="1:11" x14ac:dyDescent="0.35">
      <c r="A726" s="329" t="s">
        <v>1778</v>
      </c>
      <c r="B726" t="s">
        <v>1779</v>
      </c>
      <c r="C726" s="329"/>
      <c r="D726" s="329" t="str">
        <f t="shared" si="15"/>
        <v>NACE J - 60.39 Other content distribution activities</v>
      </c>
      <c r="K726" t="s">
        <v>3237</v>
      </c>
    </row>
    <row r="727" spans="1:11" x14ac:dyDescent="0.35">
      <c r="A727" s="326" t="s">
        <v>1780</v>
      </c>
      <c r="B727" t="s">
        <v>1781</v>
      </c>
      <c r="C727" s="329"/>
      <c r="D727" s="326" t="str">
        <f t="shared" si="15"/>
        <v>NACE K - TELECOMMUNICATION, COMPUTER PROGRAMMING, CONSULTING, COMPUTING INFRASTRUCTURE AND OTHER INFORMATION SERVICE ACTIVITIES</v>
      </c>
      <c r="K727" t="s">
        <v>2972</v>
      </c>
    </row>
    <row r="728" spans="1:11" x14ac:dyDescent="0.35">
      <c r="A728" s="325" t="s">
        <v>1782</v>
      </c>
      <c r="B728" t="s">
        <v>1783</v>
      </c>
      <c r="C728" s="329"/>
      <c r="D728" s="325" t="str">
        <f t="shared" si="15"/>
        <v>NACE K - 61 Telecommunication</v>
      </c>
      <c r="K728" t="s">
        <v>3238</v>
      </c>
    </row>
    <row r="729" spans="1:11" x14ac:dyDescent="0.35">
      <c r="A729" s="328" t="s">
        <v>1784</v>
      </c>
      <c r="B729" t="s">
        <v>1785</v>
      </c>
      <c r="C729" s="329"/>
      <c r="D729" s="328" t="str">
        <f t="shared" si="15"/>
        <v>NACE K - 61.1 Wired, wireless, and satellite telecommunication activities</v>
      </c>
      <c r="K729" t="s">
        <v>2973</v>
      </c>
    </row>
    <row r="730" spans="1:11" x14ac:dyDescent="0.35">
      <c r="A730" s="329" t="s">
        <v>1786</v>
      </c>
      <c r="B730" t="s">
        <v>1787</v>
      </c>
      <c r="C730" s="329"/>
      <c r="D730" s="329" t="str">
        <f t="shared" si="15"/>
        <v>NACE K - 61.10 Wired, wireless, and satellite telecommunication activities</v>
      </c>
      <c r="K730" t="s">
        <v>2797</v>
      </c>
    </row>
    <row r="731" spans="1:11" x14ac:dyDescent="0.35">
      <c r="A731" s="328" t="s">
        <v>1788</v>
      </c>
      <c r="B731" t="s">
        <v>1789</v>
      </c>
      <c r="C731" s="329"/>
      <c r="D731" s="328" t="str">
        <f t="shared" si="15"/>
        <v>NACE K - 61.2 Telecommunication reselling activities and intermediation service activities for telecommunication</v>
      </c>
      <c r="K731" t="s">
        <v>2948</v>
      </c>
    </row>
    <row r="732" spans="1:11" x14ac:dyDescent="0.35">
      <c r="A732" s="329" t="s">
        <v>1790</v>
      </c>
      <c r="B732" t="s">
        <v>1791</v>
      </c>
      <c r="C732" s="329"/>
      <c r="D732" s="329" t="str">
        <f t="shared" si="15"/>
        <v>NACE K - 61.20 Telecommunication reselling activities and intermediation service activities for telecommunication</v>
      </c>
      <c r="K732" t="s">
        <v>3239</v>
      </c>
    </row>
    <row r="733" spans="1:11" x14ac:dyDescent="0.35">
      <c r="A733" s="328" t="s">
        <v>1792</v>
      </c>
      <c r="B733" t="s">
        <v>1793</v>
      </c>
      <c r="C733" s="329"/>
      <c r="D733" s="328" t="str">
        <f t="shared" si="15"/>
        <v>NACE K - 61.9 Other telecommunication activities</v>
      </c>
      <c r="K733" t="s">
        <v>2798</v>
      </c>
    </row>
    <row r="734" spans="1:11" x14ac:dyDescent="0.35">
      <c r="A734" s="329" t="s">
        <v>1794</v>
      </c>
      <c r="B734" t="s">
        <v>1795</v>
      </c>
      <c r="C734" s="329"/>
      <c r="D734" s="329" t="str">
        <f t="shared" si="15"/>
        <v>NACE K - 61.90 Other telecommunication activities</v>
      </c>
      <c r="K734" t="s">
        <v>3240</v>
      </c>
    </row>
    <row r="735" spans="1:11" x14ac:dyDescent="0.35">
      <c r="A735" s="325" t="s">
        <v>1796</v>
      </c>
      <c r="B735" t="s">
        <v>1797</v>
      </c>
      <c r="C735" s="329"/>
      <c r="D735" s="325" t="str">
        <f t="shared" si="15"/>
        <v>NACE K - 62 Computer programming, consultancy and related activities</v>
      </c>
      <c r="K735" t="s">
        <v>2949</v>
      </c>
    </row>
    <row r="736" spans="1:11" x14ac:dyDescent="0.35">
      <c r="A736" s="328" t="s">
        <v>1798</v>
      </c>
      <c r="B736" t="s">
        <v>1799</v>
      </c>
      <c r="C736" s="329"/>
      <c r="D736" s="328" t="str">
        <f t="shared" si="15"/>
        <v>NACE K - 62.1 Computer programming activities</v>
      </c>
      <c r="K736" t="s">
        <v>3241</v>
      </c>
    </row>
    <row r="737" spans="1:11" x14ac:dyDescent="0.35">
      <c r="A737" s="329" t="s">
        <v>1800</v>
      </c>
      <c r="B737" t="s">
        <v>1801</v>
      </c>
      <c r="C737" s="329"/>
      <c r="D737" s="329" t="str">
        <f t="shared" si="15"/>
        <v>NACE K - 62.10 Computer programming activities</v>
      </c>
      <c r="K737" t="s">
        <v>2974</v>
      </c>
    </row>
    <row r="738" spans="1:11" x14ac:dyDescent="0.35">
      <c r="A738" s="328" t="s">
        <v>1802</v>
      </c>
      <c r="B738" t="s">
        <v>1803</v>
      </c>
      <c r="C738" s="329"/>
      <c r="D738" s="328" t="str">
        <f t="shared" si="15"/>
        <v>NACE K - 62.2 Computer consultancy and computer facilities management activities</v>
      </c>
      <c r="K738" t="s">
        <v>3242</v>
      </c>
    </row>
    <row r="739" spans="1:11" x14ac:dyDescent="0.35">
      <c r="A739" s="329" t="s">
        <v>1804</v>
      </c>
      <c r="B739" t="s">
        <v>1805</v>
      </c>
      <c r="C739" s="329"/>
      <c r="D739" s="329" t="str">
        <f t="shared" si="15"/>
        <v>NACE K - 62.20 Computer consultancy and computer facilities management activities</v>
      </c>
      <c r="K739" t="s">
        <v>2975</v>
      </c>
    </row>
    <row r="740" spans="1:11" x14ac:dyDescent="0.35">
      <c r="A740" s="328" t="s">
        <v>1806</v>
      </c>
      <c r="B740" t="s">
        <v>1807</v>
      </c>
      <c r="C740" s="329"/>
      <c r="D740" s="328" t="str">
        <f t="shared" si="15"/>
        <v>NACE K - 62.9 Other information technology and computer service activities</v>
      </c>
      <c r="K740" t="s">
        <v>2950</v>
      </c>
    </row>
    <row r="741" spans="1:11" x14ac:dyDescent="0.35">
      <c r="A741" s="329" t="s">
        <v>1808</v>
      </c>
      <c r="B741" t="s">
        <v>1809</v>
      </c>
      <c r="C741" s="329"/>
      <c r="D741" s="329" t="str">
        <f t="shared" si="15"/>
        <v>NACE K - 62.90 Other information technology and computer service activities</v>
      </c>
      <c r="K741" t="s">
        <v>2799</v>
      </c>
    </row>
    <row r="742" spans="1:11" x14ac:dyDescent="0.35">
      <c r="A742" s="325" t="s">
        <v>1810</v>
      </c>
      <c r="B742" t="s">
        <v>1811</v>
      </c>
      <c r="C742" s="329"/>
      <c r="D742" s="325" t="str">
        <f t="shared" si="15"/>
        <v>NACE K - 63 Computing infrastructure, data processing, hosting and other information service activities</v>
      </c>
      <c r="K742" t="s">
        <v>3243</v>
      </c>
    </row>
    <row r="743" spans="1:11" x14ac:dyDescent="0.35">
      <c r="A743" s="328" t="s">
        <v>1812</v>
      </c>
      <c r="B743" t="s">
        <v>1813</v>
      </c>
      <c r="C743" s="329"/>
      <c r="D743" s="328" t="str">
        <f t="shared" si="15"/>
        <v>NACE K - 63.1 Computing infrastructure, data processing, hosting and related activities</v>
      </c>
      <c r="K743" t="s">
        <v>3244</v>
      </c>
    </row>
    <row r="744" spans="1:11" x14ac:dyDescent="0.35">
      <c r="A744" s="329" t="s">
        <v>1814</v>
      </c>
      <c r="B744" t="s">
        <v>1815</v>
      </c>
      <c r="C744" s="329"/>
      <c r="D744" s="329" t="str">
        <f t="shared" si="15"/>
        <v>NACE K - 63.10 Computing infrastructure, data processing, hosting and related activities</v>
      </c>
      <c r="K744" t="s">
        <v>2800</v>
      </c>
    </row>
    <row r="745" spans="1:11" x14ac:dyDescent="0.35">
      <c r="A745" s="328" t="s">
        <v>1816</v>
      </c>
      <c r="B745" t="s">
        <v>1817</v>
      </c>
      <c r="C745" s="329"/>
      <c r="D745" s="328" t="str">
        <f t="shared" si="15"/>
        <v>NACE K - 63.9 Web search portal activities and other information service activities</v>
      </c>
      <c r="K745" t="s">
        <v>2951</v>
      </c>
    </row>
    <row r="746" spans="1:11" x14ac:dyDescent="0.35">
      <c r="A746" s="329" t="s">
        <v>1818</v>
      </c>
      <c r="B746" t="s">
        <v>1819</v>
      </c>
      <c r="C746" s="329"/>
      <c r="D746" s="329" t="str">
        <f t="shared" si="15"/>
        <v>NACE K - 63.91 Web search portal activities</v>
      </c>
      <c r="K746" t="s">
        <v>2801</v>
      </c>
    </row>
    <row r="747" spans="1:11" x14ac:dyDescent="0.35">
      <c r="A747" s="329" t="s">
        <v>1820</v>
      </c>
      <c r="B747" t="s">
        <v>1821</v>
      </c>
      <c r="C747" s="329"/>
      <c r="D747" s="329" t="str">
        <f t="shared" si="15"/>
        <v>NACE K - 63.92 Other information service activities</v>
      </c>
      <c r="K747" t="s">
        <v>2802</v>
      </c>
    </row>
    <row r="748" spans="1:11" x14ac:dyDescent="0.35">
      <c r="A748" s="326" t="s">
        <v>1822</v>
      </c>
      <c r="B748" t="s">
        <v>1823</v>
      </c>
      <c r="C748" s="329"/>
      <c r="D748" s="326" t="str">
        <f t="shared" si="15"/>
        <v>NACE L - FINANCIAL AND INSURANCE ACTIVITIES</v>
      </c>
      <c r="K748" t="s">
        <v>2803</v>
      </c>
    </row>
    <row r="749" spans="1:11" x14ac:dyDescent="0.35">
      <c r="A749" s="325" t="s">
        <v>1824</v>
      </c>
      <c r="B749" t="s">
        <v>1825</v>
      </c>
      <c r="C749" s="329"/>
      <c r="D749" s="325" t="str">
        <f t="shared" si="15"/>
        <v>NACE L - 64 Financial service activities, except insurance and pension funding</v>
      </c>
      <c r="K749" t="s">
        <v>2804</v>
      </c>
    </row>
    <row r="750" spans="1:11" x14ac:dyDescent="0.35">
      <c r="A750" s="328" t="s">
        <v>1826</v>
      </c>
      <c r="B750" t="s">
        <v>1827</v>
      </c>
      <c r="C750" s="329"/>
      <c r="D750" s="328" t="str">
        <f t="shared" si="15"/>
        <v>NACE L - 64.1 Monetary intermediation</v>
      </c>
      <c r="K750" t="s">
        <v>2952</v>
      </c>
    </row>
    <row r="751" spans="1:11" x14ac:dyDescent="0.35">
      <c r="A751" s="329" t="s">
        <v>1828</v>
      </c>
      <c r="B751" t="s">
        <v>1829</v>
      </c>
      <c r="C751" s="329"/>
      <c r="D751" s="329" t="str">
        <f t="shared" si="15"/>
        <v>NACE L - 64.11 Central banking</v>
      </c>
      <c r="K751" t="s">
        <v>2805</v>
      </c>
    </row>
    <row r="752" spans="1:11" x14ac:dyDescent="0.35">
      <c r="A752" s="329" t="s">
        <v>1830</v>
      </c>
      <c r="B752" t="s">
        <v>1831</v>
      </c>
      <c r="C752" s="329"/>
      <c r="D752" s="329" t="str">
        <f t="shared" si="15"/>
        <v>NACE L - 64.19 Other monetary intermediation</v>
      </c>
      <c r="K752" t="s">
        <v>2806</v>
      </c>
    </row>
    <row r="753" spans="1:11" x14ac:dyDescent="0.35">
      <c r="A753" s="328" t="s">
        <v>1832</v>
      </c>
      <c r="B753" t="s">
        <v>1833</v>
      </c>
      <c r="C753" s="329"/>
      <c r="D753" s="328" t="str">
        <f t="shared" si="15"/>
        <v>NACE L - 64.2 Activities of holding companies and financing conduits</v>
      </c>
      <c r="K753" t="s">
        <v>2807</v>
      </c>
    </row>
    <row r="754" spans="1:11" x14ac:dyDescent="0.35">
      <c r="A754" s="329" t="s">
        <v>1834</v>
      </c>
      <c r="B754" t="s">
        <v>1835</v>
      </c>
      <c r="C754" s="329"/>
      <c r="D754" s="329" t="str">
        <f t="shared" si="15"/>
        <v>NACE L - 64.21 Activities of holding companies</v>
      </c>
      <c r="K754" t="s">
        <v>2953</v>
      </c>
    </row>
    <row r="755" spans="1:11" x14ac:dyDescent="0.35">
      <c r="A755" s="329" t="s">
        <v>1836</v>
      </c>
      <c r="B755" t="s">
        <v>1837</v>
      </c>
      <c r="C755" s="329"/>
      <c r="D755" s="329" t="str">
        <f t="shared" si="15"/>
        <v>NACE L - 64.22 Activities of financing conduits</v>
      </c>
      <c r="K755" t="s">
        <v>2808</v>
      </c>
    </row>
    <row r="756" spans="1:11" x14ac:dyDescent="0.35">
      <c r="A756" s="328" t="s">
        <v>1838</v>
      </c>
      <c r="B756" t="s">
        <v>1839</v>
      </c>
      <c r="C756" s="329"/>
      <c r="D756" s="328" t="str">
        <f t="shared" si="15"/>
        <v>NACE L - 64.3 Activities of trusts, funds and similar financial entities</v>
      </c>
      <c r="K756" t="s">
        <v>2954</v>
      </c>
    </row>
    <row r="757" spans="1:11" x14ac:dyDescent="0.35">
      <c r="A757" s="329" t="s">
        <v>1840</v>
      </c>
      <c r="B757" t="s">
        <v>1841</v>
      </c>
      <c r="C757" s="329"/>
      <c r="D757" s="329" t="str">
        <f t="shared" si="15"/>
        <v>NACE L - 64.31 Activities of money market and non-money market investments funds</v>
      </c>
      <c r="K757" t="s">
        <v>2809</v>
      </c>
    </row>
    <row r="758" spans="1:11" x14ac:dyDescent="0.35">
      <c r="A758" s="329" t="s">
        <v>1842</v>
      </c>
      <c r="B758" t="s">
        <v>1843</v>
      </c>
      <c r="C758" s="329"/>
      <c r="D758" s="329" t="str">
        <f t="shared" si="15"/>
        <v>NACE L - 64.32 Activities of trust, estate and agency accounts</v>
      </c>
      <c r="K758" t="s">
        <v>2810</v>
      </c>
    </row>
    <row r="759" spans="1:11" x14ac:dyDescent="0.35">
      <c r="A759" s="328" t="s">
        <v>1844</v>
      </c>
      <c r="B759" t="s">
        <v>1845</v>
      </c>
      <c r="C759" s="329"/>
      <c r="D759" s="328" t="str">
        <f t="shared" si="15"/>
        <v>NACE L - 64.9 Other financial service activities, except insurance and pension funding</v>
      </c>
      <c r="K759" t="s">
        <v>3245</v>
      </c>
    </row>
    <row r="760" spans="1:11" x14ac:dyDescent="0.35">
      <c r="A760" s="329" t="s">
        <v>1846</v>
      </c>
      <c r="B760" t="s">
        <v>1847</v>
      </c>
      <c r="C760" s="329"/>
      <c r="D760" s="329" t="str">
        <f t="shared" si="15"/>
        <v>NACE L - 64.91 Financial leasing</v>
      </c>
      <c r="K760" t="s">
        <v>2811</v>
      </c>
    </row>
    <row r="761" spans="1:11" x14ac:dyDescent="0.35">
      <c r="A761" s="329" t="s">
        <v>1848</v>
      </c>
      <c r="B761" t="s">
        <v>1849</v>
      </c>
      <c r="C761" s="329"/>
      <c r="D761" s="329" t="str">
        <f t="shared" si="15"/>
        <v>NACE L - 64.92 Other credit granting</v>
      </c>
      <c r="K761" t="s">
        <v>2812</v>
      </c>
    </row>
    <row r="762" spans="1:11" x14ac:dyDescent="0.35">
      <c r="A762" s="329" t="s">
        <v>1850</v>
      </c>
      <c r="B762" t="s">
        <v>1851</v>
      </c>
      <c r="C762" s="329"/>
      <c r="D762" s="329" t="str">
        <f t="shared" si="15"/>
        <v>NACE L - 64.99 Other financial service activities, except insurance and pension funding n.e.c.</v>
      </c>
      <c r="K762" t="s">
        <v>3246</v>
      </c>
    </row>
    <row r="763" spans="1:11" x14ac:dyDescent="0.35">
      <c r="A763" s="325" t="s">
        <v>1852</v>
      </c>
      <c r="B763" t="s">
        <v>1853</v>
      </c>
      <c r="C763" s="329"/>
      <c r="D763" s="325" t="str">
        <f t="shared" si="15"/>
        <v>NACE L - 65 Insurance, reinsurance and pension funding, except compulsory social security</v>
      </c>
      <c r="K763" t="s">
        <v>3247</v>
      </c>
    </row>
    <row r="764" spans="1:11" x14ac:dyDescent="0.35">
      <c r="A764" s="328" t="s">
        <v>1854</v>
      </c>
      <c r="B764" t="s">
        <v>1855</v>
      </c>
      <c r="C764" s="329"/>
      <c r="D764" s="328" t="str">
        <f t="shared" si="15"/>
        <v>NACE L - 65.1 Insurance</v>
      </c>
      <c r="K764" t="s">
        <v>2813</v>
      </c>
    </row>
    <row r="765" spans="1:11" x14ac:dyDescent="0.35">
      <c r="A765" s="329" t="s">
        <v>1856</v>
      </c>
      <c r="B765" t="s">
        <v>1857</v>
      </c>
      <c r="C765" s="329"/>
      <c r="D765" s="329" t="str">
        <f t="shared" si="15"/>
        <v>NACE L - 65.11 Life insurance</v>
      </c>
      <c r="K765" t="s">
        <v>2955</v>
      </c>
    </row>
    <row r="766" spans="1:11" x14ac:dyDescent="0.35">
      <c r="A766" s="329" t="s">
        <v>1858</v>
      </c>
      <c r="B766" t="s">
        <v>1859</v>
      </c>
      <c r="C766" s="329"/>
      <c r="D766" s="329" t="str">
        <f t="shared" si="15"/>
        <v>NACE L - 65.12 Non-life insurance</v>
      </c>
      <c r="K766" t="s">
        <v>2814</v>
      </c>
    </row>
    <row r="767" spans="1:11" x14ac:dyDescent="0.35">
      <c r="A767" s="328" t="s">
        <v>1860</v>
      </c>
      <c r="B767" t="s">
        <v>1861</v>
      </c>
      <c r="C767" s="329"/>
      <c r="D767" s="328" t="str">
        <f t="shared" si="15"/>
        <v>NACE L - 65.2 Reinsurance</v>
      </c>
      <c r="K767" t="s">
        <v>2815</v>
      </c>
    </row>
    <row r="768" spans="1:11" x14ac:dyDescent="0.35">
      <c r="A768" s="329" t="s">
        <v>1862</v>
      </c>
      <c r="B768" t="s">
        <v>1863</v>
      </c>
      <c r="C768" s="329"/>
      <c r="D768" s="329" t="str">
        <f t="shared" si="15"/>
        <v>NACE L - 65.20 Reinsurance</v>
      </c>
      <c r="K768" t="s">
        <v>2816</v>
      </c>
    </row>
    <row r="769" spans="1:11" x14ac:dyDescent="0.35">
      <c r="A769" s="328" t="s">
        <v>1864</v>
      </c>
      <c r="B769" t="s">
        <v>1865</v>
      </c>
      <c r="C769" s="329"/>
      <c r="D769" s="328" t="str">
        <f t="shared" si="15"/>
        <v>NACE L - 65.3 Pension funding</v>
      </c>
      <c r="K769" t="s">
        <v>2817</v>
      </c>
    </row>
    <row r="770" spans="1:11" x14ac:dyDescent="0.35">
      <c r="A770" s="329" t="s">
        <v>1866</v>
      </c>
      <c r="B770" t="s">
        <v>1867</v>
      </c>
      <c r="C770" s="329"/>
      <c r="D770" s="329" t="str">
        <f t="shared" ref="D770:D833" si="16">_xlfn.CONCAT("NACE ", A770)</f>
        <v>NACE L - 65.30 Pension funding</v>
      </c>
      <c r="K770" t="s">
        <v>2818</v>
      </c>
    </row>
    <row r="771" spans="1:11" x14ac:dyDescent="0.35">
      <c r="A771" s="325" t="s">
        <v>1868</v>
      </c>
      <c r="B771" t="s">
        <v>1869</v>
      </c>
      <c r="C771" s="329"/>
      <c r="D771" s="325" t="str">
        <f t="shared" si="16"/>
        <v>NACE L - 66 Activities auxiliary to financial services and insurance activities</v>
      </c>
      <c r="K771" t="s">
        <v>2819</v>
      </c>
    </row>
    <row r="772" spans="1:11" x14ac:dyDescent="0.35">
      <c r="A772" s="328" t="s">
        <v>1870</v>
      </c>
      <c r="B772" t="s">
        <v>1871</v>
      </c>
      <c r="C772" s="329"/>
      <c r="D772" s="328" t="str">
        <f t="shared" si="16"/>
        <v>NACE L - 66.1 Activities auxiliary to financial services, except insurance and pension funding</v>
      </c>
      <c r="K772" t="s">
        <v>2820</v>
      </c>
    </row>
    <row r="773" spans="1:11" x14ac:dyDescent="0.35">
      <c r="A773" s="329" t="s">
        <v>1872</v>
      </c>
      <c r="B773" t="s">
        <v>1873</v>
      </c>
      <c r="C773" s="329"/>
      <c r="D773" s="329" t="str">
        <f t="shared" si="16"/>
        <v>NACE L - 66.11 Administration of financial markets</v>
      </c>
      <c r="K773" t="s">
        <v>2956</v>
      </c>
    </row>
    <row r="774" spans="1:11" x14ac:dyDescent="0.35">
      <c r="A774" s="329" t="s">
        <v>1874</v>
      </c>
      <c r="B774" t="s">
        <v>1875</v>
      </c>
      <c r="C774" s="329"/>
      <c r="D774" s="329" t="str">
        <f t="shared" si="16"/>
        <v>NACE L - 66.12 Security and commodity contracts brokerage</v>
      </c>
      <c r="K774" t="s">
        <v>2821</v>
      </c>
    </row>
    <row r="775" spans="1:11" x14ac:dyDescent="0.35">
      <c r="A775" s="329" t="s">
        <v>1876</v>
      </c>
      <c r="B775" t="s">
        <v>1877</v>
      </c>
      <c r="C775" s="329"/>
      <c r="D775" s="329" t="str">
        <f t="shared" si="16"/>
        <v>NACE L - 66.19 Other activities auxiliary to financial services, except insurance and pension funding</v>
      </c>
      <c r="K775" t="s">
        <v>2822</v>
      </c>
    </row>
    <row r="776" spans="1:11" x14ac:dyDescent="0.35">
      <c r="A776" s="328" t="s">
        <v>1878</v>
      </c>
      <c r="B776" t="s">
        <v>1879</v>
      </c>
      <c r="C776" s="329"/>
      <c r="D776" s="328" t="str">
        <f t="shared" si="16"/>
        <v>NACE L - 66.2 Activities auxiliary to insurance and pension funding</v>
      </c>
      <c r="K776" t="s">
        <v>3248</v>
      </c>
    </row>
    <row r="777" spans="1:11" x14ac:dyDescent="0.35">
      <c r="A777" s="329" t="s">
        <v>1880</v>
      </c>
      <c r="B777" t="s">
        <v>1881</v>
      </c>
      <c r="C777" s="329"/>
      <c r="D777" s="329" t="str">
        <f t="shared" si="16"/>
        <v>NACE L - 66.21 Risk and damage evaluation</v>
      </c>
      <c r="K777" t="s">
        <v>2823</v>
      </c>
    </row>
    <row r="778" spans="1:11" x14ac:dyDescent="0.35">
      <c r="A778" s="329" t="s">
        <v>1882</v>
      </c>
      <c r="B778" t="s">
        <v>1883</v>
      </c>
      <c r="C778" s="329"/>
      <c r="D778" s="329" t="str">
        <f t="shared" si="16"/>
        <v>NACE L - 66.22 Activities of insurance agents and brokers</v>
      </c>
      <c r="K778" t="s">
        <v>3249</v>
      </c>
    </row>
    <row r="779" spans="1:11" x14ac:dyDescent="0.35">
      <c r="A779" s="329" t="s">
        <v>1884</v>
      </c>
      <c r="B779" t="s">
        <v>1885</v>
      </c>
      <c r="C779" s="329"/>
      <c r="D779" s="329" t="str">
        <f t="shared" si="16"/>
        <v>NACE L - 66.29 Activities auxiliary to insurance and pension funding n.e.c.</v>
      </c>
      <c r="K779" t="s">
        <v>2824</v>
      </c>
    </row>
    <row r="780" spans="1:11" x14ac:dyDescent="0.35">
      <c r="A780" s="328" t="s">
        <v>1886</v>
      </c>
      <c r="B780" t="s">
        <v>1887</v>
      </c>
      <c r="C780" s="329"/>
      <c r="D780" s="328" t="str">
        <f t="shared" si="16"/>
        <v>NACE L - 66.3 Fund management activities</v>
      </c>
      <c r="K780" t="s">
        <v>2457</v>
      </c>
    </row>
    <row r="781" spans="1:11" x14ac:dyDescent="0.35">
      <c r="A781" s="329" t="s">
        <v>1888</v>
      </c>
      <c r="B781" t="s">
        <v>1889</v>
      </c>
      <c r="C781" s="329"/>
      <c r="D781" s="329" t="str">
        <f t="shared" si="16"/>
        <v>NACE L - 66.30 Fund management activities</v>
      </c>
      <c r="K781" t="s">
        <v>2957</v>
      </c>
    </row>
    <row r="782" spans="1:11" x14ac:dyDescent="0.35">
      <c r="A782" s="326" t="s">
        <v>1890</v>
      </c>
      <c r="B782" t="s">
        <v>1891</v>
      </c>
      <c r="C782" s="329"/>
      <c r="D782" s="326" t="str">
        <f t="shared" si="16"/>
        <v>NACE M - REAL ESTATE ACTIVITIES</v>
      </c>
      <c r="K782" t="s">
        <v>2825</v>
      </c>
    </row>
    <row r="783" spans="1:11" x14ac:dyDescent="0.35">
      <c r="A783" s="325" t="s">
        <v>1892</v>
      </c>
      <c r="B783" t="s">
        <v>1893</v>
      </c>
      <c r="C783" s="329"/>
      <c r="D783" s="325" t="str">
        <f t="shared" si="16"/>
        <v>NACE M - 68 Real estate activities</v>
      </c>
      <c r="K783" t="s">
        <v>2826</v>
      </c>
    </row>
    <row r="784" spans="1:11" x14ac:dyDescent="0.35">
      <c r="A784" s="328" t="s">
        <v>1894</v>
      </c>
      <c r="B784" t="s">
        <v>1895</v>
      </c>
      <c r="C784" s="329"/>
      <c r="D784" s="328" t="str">
        <f t="shared" si="16"/>
        <v>NACE M - 68.1 Real estate activities with own property and development of building projects</v>
      </c>
      <c r="K784" t="s">
        <v>2827</v>
      </c>
    </row>
    <row r="785" spans="1:11" x14ac:dyDescent="0.35">
      <c r="A785" s="329" t="s">
        <v>1896</v>
      </c>
      <c r="B785" t="s">
        <v>1897</v>
      </c>
      <c r="C785" s="329"/>
      <c r="D785" s="329" t="str">
        <f t="shared" si="16"/>
        <v>NACE M - 68.11 Buying and selling of own real estate</v>
      </c>
      <c r="K785" t="s">
        <v>2828</v>
      </c>
    </row>
    <row r="786" spans="1:11" x14ac:dyDescent="0.35">
      <c r="A786" s="329" t="s">
        <v>1898</v>
      </c>
      <c r="B786" t="s">
        <v>1899</v>
      </c>
      <c r="C786" s="329"/>
      <c r="D786" s="329" t="str">
        <f t="shared" si="16"/>
        <v>NACE M - 68.12 Development of building projects</v>
      </c>
      <c r="K786" t="s">
        <v>2829</v>
      </c>
    </row>
    <row r="787" spans="1:11" x14ac:dyDescent="0.35">
      <c r="A787" s="328" t="s">
        <v>1900</v>
      </c>
      <c r="B787" t="s">
        <v>1901</v>
      </c>
      <c r="C787" s="329"/>
      <c r="D787" s="328" t="str">
        <f t="shared" si="16"/>
        <v>NACE M - 68.2 Rental and operating of own or leased real estate</v>
      </c>
      <c r="K787" t="s">
        <v>2830</v>
      </c>
    </row>
    <row r="788" spans="1:11" x14ac:dyDescent="0.35">
      <c r="A788" s="329" t="s">
        <v>1902</v>
      </c>
      <c r="B788" t="s">
        <v>1903</v>
      </c>
      <c r="C788" s="329"/>
      <c r="D788" s="329" t="str">
        <f t="shared" si="16"/>
        <v>NACE M - 68.20 Rental and operating of own or leased real estate</v>
      </c>
      <c r="K788" t="s">
        <v>2831</v>
      </c>
    </row>
    <row r="789" spans="1:11" x14ac:dyDescent="0.35">
      <c r="A789" s="328" t="s">
        <v>1904</v>
      </c>
      <c r="B789" t="s">
        <v>1905</v>
      </c>
      <c r="C789" s="329"/>
      <c r="D789" s="328" t="str">
        <f t="shared" si="16"/>
        <v>NACE M - 68.3 Real estate activities on a fee or contract basis</v>
      </c>
      <c r="K789" t="s">
        <v>2832</v>
      </c>
    </row>
    <row r="790" spans="1:11" x14ac:dyDescent="0.35">
      <c r="A790" s="329" t="s">
        <v>1906</v>
      </c>
      <c r="B790" t="s">
        <v>1907</v>
      </c>
      <c r="C790" s="329"/>
      <c r="D790" s="329" t="str">
        <f t="shared" si="16"/>
        <v>NACE M - 68.31 Intermediation service activities for real estate activities</v>
      </c>
      <c r="K790" t="s">
        <v>2833</v>
      </c>
    </row>
    <row r="791" spans="1:11" x14ac:dyDescent="0.35">
      <c r="A791" s="329" t="s">
        <v>1908</v>
      </c>
      <c r="B791" t="s">
        <v>1909</v>
      </c>
      <c r="C791" s="329"/>
      <c r="D791" s="329" t="str">
        <f t="shared" si="16"/>
        <v>NACE M - 68.32 Other real estate activities on a fee or contract basis</v>
      </c>
      <c r="K791" t="s">
        <v>2834</v>
      </c>
    </row>
    <row r="792" spans="1:11" x14ac:dyDescent="0.35">
      <c r="A792" s="326" t="s">
        <v>1910</v>
      </c>
      <c r="B792" t="s">
        <v>1911</v>
      </c>
      <c r="C792" s="329"/>
      <c r="D792" s="326" t="str">
        <f t="shared" si="16"/>
        <v>NACE N - PROFESSIONAL, SCIENTIFIC AND TECHNICAL ACTIVITIES</v>
      </c>
      <c r="K792" t="s">
        <v>3250</v>
      </c>
    </row>
    <row r="793" spans="1:11" x14ac:dyDescent="0.35">
      <c r="A793" s="325" t="s">
        <v>1912</v>
      </c>
      <c r="B793" t="s">
        <v>1913</v>
      </c>
      <c r="C793" s="329"/>
      <c r="D793" s="325" t="str">
        <f t="shared" si="16"/>
        <v>NACE N - 69 Legal and accounting activities</v>
      </c>
      <c r="K793" t="s">
        <v>3251</v>
      </c>
    </row>
    <row r="794" spans="1:11" x14ac:dyDescent="0.35">
      <c r="A794" s="328" t="s">
        <v>1914</v>
      </c>
      <c r="B794" t="s">
        <v>1915</v>
      </c>
      <c r="C794" s="329"/>
      <c r="D794" s="328" t="str">
        <f t="shared" si="16"/>
        <v>NACE N - 69.1 Legal activities</v>
      </c>
      <c r="K794" t="s">
        <v>3252</v>
      </c>
    </row>
    <row r="795" spans="1:11" x14ac:dyDescent="0.35">
      <c r="A795" s="329" t="s">
        <v>1916</v>
      </c>
      <c r="B795" t="s">
        <v>1917</v>
      </c>
      <c r="C795" s="329"/>
      <c r="D795" s="329" t="str">
        <f t="shared" si="16"/>
        <v>NACE N - 69.10 Legal activities</v>
      </c>
      <c r="K795" t="s">
        <v>3253</v>
      </c>
    </row>
    <row r="796" spans="1:11" x14ac:dyDescent="0.35">
      <c r="A796" s="328" t="s">
        <v>1918</v>
      </c>
      <c r="B796" t="s">
        <v>1919</v>
      </c>
      <c r="C796" s="329"/>
      <c r="D796" s="328" t="str">
        <f t="shared" si="16"/>
        <v>NACE N - 69.2 Accounting, bookkeeping and auditing activities; tax consultancy</v>
      </c>
      <c r="K796" t="s">
        <v>3254</v>
      </c>
    </row>
    <row r="797" spans="1:11" x14ac:dyDescent="0.35">
      <c r="A797" s="329" t="s">
        <v>1920</v>
      </c>
      <c r="B797" t="s">
        <v>1921</v>
      </c>
      <c r="C797" s="329"/>
      <c r="D797" s="329" t="str">
        <f t="shared" si="16"/>
        <v>NACE N - 69.20 Accounting, bookkeeping and auditing activities; tax consultancy</v>
      </c>
      <c r="K797" t="s">
        <v>3255</v>
      </c>
    </row>
    <row r="798" spans="1:11" x14ac:dyDescent="0.35">
      <c r="A798" s="325" t="s">
        <v>1922</v>
      </c>
      <c r="B798" t="s">
        <v>1923</v>
      </c>
      <c r="C798" s="329"/>
      <c r="D798" s="325" t="str">
        <f t="shared" si="16"/>
        <v>NACE N - 70 Activities of head offices and management consultancy</v>
      </c>
      <c r="K798" t="s">
        <v>2835</v>
      </c>
    </row>
    <row r="799" spans="1:11" x14ac:dyDescent="0.35">
      <c r="A799" s="328" t="s">
        <v>1924</v>
      </c>
      <c r="B799" t="s">
        <v>1925</v>
      </c>
      <c r="C799" s="329"/>
      <c r="D799" s="328" t="str">
        <f t="shared" si="16"/>
        <v>NACE N - 70.1 Activities of head offices</v>
      </c>
      <c r="K799" t="s">
        <v>3256</v>
      </c>
    </row>
    <row r="800" spans="1:11" x14ac:dyDescent="0.35">
      <c r="A800" s="329" t="s">
        <v>1926</v>
      </c>
      <c r="B800" t="s">
        <v>1927</v>
      </c>
      <c r="C800" s="329"/>
      <c r="D800" s="329" t="str">
        <f t="shared" si="16"/>
        <v>NACE N - 70.10 Activities of head offices</v>
      </c>
      <c r="K800" t="s">
        <v>2836</v>
      </c>
    </row>
    <row r="801" spans="1:11" x14ac:dyDescent="0.35">
      <c r="A801" s="328" t="s">
        <v>1928</v>
      </c>
      <c r="B801" t="s">
        <v>1929</v>
      </c>
      <c r="C801" s="329"/>
      <c r="D801" s="328" t="str">
        <f t="shared" si="16"/>
        <v>NACE N - 70.2 Business and other management consultancy activities</v>
      </c>
      <c r="K801" t="s">
        <v>3257</v>
      </c>
    </row>
    <row r="802" spans="1:11" x14ac:dyDescent="0.35">
      <c r="A802" s="329" t="s">
        <v>1930</v>
      </c>
      <c r="B802" t="s">
        <v>1931</v>
      </c>
      <c r="C802" s="329"/>
      <c r="D802" s="329" t="str">
        <f t="shared" si="16"/>
        <v>NACE N - 70.20 Business and other management consultancy activities</v>
      </c>
      <c r="K802" t="s">
        <v>3258</v>
      </c>
    </row>
    <row r="803" spans="1:11" x14ac:dyDescent="0.35">
      <c r="A803" s="325" t="s">
        <v>1932</v>
      </c>
      <c r="B803" t="s">
        <v>1933</v>
      </c>
      <c r="C803" s="329"/>
      <c r="D803" s="325" t="str">
        <f t="shared" si="16"/>
        <v>NACE N - 71 Architectural and engineering activities; technical testing and analysis</v>
      </c>
      <c r="K803" t="s">
        <v>2837</v>
      </c>
    </row>
    <row r="804" spans="1:11" x14ac:dyDescent="0.35">
      <c r="A804" s="328" t="s">
        <v>1934</v>
      </c>
      <c r="B804" t="s">
        <v>1935</v>
      </c>
      <c r="C804" s="329"/>
      <c r="D804" s="328" t="str">
        <f t="shared" si="16"/>
        <v>NACE N - 71.1 Architectural and engineering activities and related technical consultancy</v>
      </c>
      <c r="K804" t="s">
        <v>3259</v>
      </c>
    </row>
    <row r="805" spans="1:11" x14ac:dyDescent="0.35">
      <c r="A805" s="329" t="s">
        <v>1936</v>
      </c>
      <c r="B805" t="s">
        <v>1937</v>
      </c>
      <c r="C805" s="329"/>
      <c r="D805" s="329" t="str">
        <f t="shared" si="16"/>
        <v>NACE N - 71.11 Architectural activities</v>
      </c>
      <c r="K805" t="s">
        <v>2838</v>
      </c>
    </row>
    <row r="806" spans="1:11" x14ac:dyDescent="0.35">
      <c r="A806" s="329" t="s">
        <v>1938</v>
      </c>
      <c r="B806" t="s">
        <v>1939</v>
      </c>
      <c r="C806" s="329"/>
      <c r="D806" s="329" t="str">
        <f t="shared" si="16"/>
        <v>NACE N - 71.12 Engineering activities and related technical consultancy</v>
      </c>
      <c r="K806" t="s">
        <v>3260</v>
      </c>
    </row>
    <row r="807" spans="1:11" x14ac:dyDescent="0.35">
      <c r="A807" s="328" t="s">
        <v>1940</v>
      </c>
      <c r="B807" t="s">
        <v>1941</v>
      </c>
      <c r="C807" s="329"/>
      <c r="D807" s="328" t="str">
        <f t="shared" si="16"/>
        <v>NACE N - 71.2 Technical testing and analysis</v>
      </c>
      <c r="K807" t="s">
        <v>2839</v>
      </c>
    </row>
    <row r="808" spans="1:11" x14ac:dyDescent="0.35">
      <c r="A808" s="329" t="s">
        <v>1942</v>
      </c>
      <c r="B808" t="s">
        <v>1943</v>
      </c>
      <c r="C808" s="329"/>
      <c r="D808" s="329" t="str">
        <f t="shared" si="16"/>
        <v>NACE N - 71.20 Technical testing and analysis</v>
      </c>
      <c r="K808" t="s">
        <v>3261</v>
      </c>
    </row>
    <row r="809" spans="1:11" x14ac:dyDescent="0.35">
      <c r="A809" s="325" t="s">
        <v>1944</v>
      </c>
      <c r="B809" t="s">
        <v>1945</v>
      </c>
      <c r="C809" s="329"/>
      <c r="D809" s="325" t="str">
        <f t="shared" si="16"/>
        <v>NACE N - 72 Scientific research and development</v>
      </c>
      <c r="K809" t="s">
        <v>2976</v>
      </c>
    </row>
    <row r="810" spans="1:11" x14ac:dyDescent="0.35">
      <c r="A810" s="328" t="s">
        <v>1946</v>
      </c>
      <c r="B810" t="s">
        <v>1947</v>
      </c>
      <c r="C810" s="329"/>
      <c r="D810" s="328" t="str">
        <f t="shared" si="16"/>
        <v>NACE N - 72.1 Research and experimental development on natural sciences and engineering</v>
      </c>
      <c r="K810" t="s">
        <v>3262</v>
      </c>
    </row>
    <row r="811" spans="1:11" x14ac:dyDescent="0.35">
      <c r="A811" s="329" t="s">
        <v>1948</v>
      </c>
      <c r="B811" t="s">
        <v>1949</v>
      </c>
      <c r="C811" s="329"/>
      <c r="D811" s="329" t="str">
        <f t="shared" si="16"/>
        <v>NACE N - 72.10 Research and experimental development on natural sciences and engineering</v>
      </c>
      <c r="K811" t="s">
        <v>2960</v>
      </c>
    </row>
    <row r="812" spans="1:11" x14ac:dyDescent="0.35">
      <c r="A812" s="328" t="s">
        <v>1950</v>
      </c>
      <c r="B812" t="s">
        <v>1951</v>
      </c>
      <c r="C812" s="329"/>
      <c r="D812" s="328" t="str">
        <f t="shared" si="16"/>
        <v>NACE N - 72.2 Research and experimental development on social sciences and humanities</v>
      </c>
      <c r="K812" t="s">
        <v>2958</v>
      </c>
    </row>
    <row r="813" spans="1:11" x14ac:dyDescent="0.35">
      <c r="A813" s="329" t="s">
        <v>1952</v>
      </c>
      <c r="B813" t="s">
        <v>1953</v>
      </c>
      <c r="C813" s="329"/>
      <c r="D813" s="329" t="str">
        <f t="shared" si="16"/>
        <v>NACE N - 72.20 Research and experimental development on social sciences and humanities</v>
      </c>
      <c r="K813" t="s">
        <v>2840</v>
      </c>
    </row>
    <row r="814" spans="1:11" x14ac:dyDescent="0.35">
      <c r="A814" s="325" t="s">
        <v>1954</v>
      </c>
      <c r="B814" t="s">
        <v>1955</v>
      </c>
      <c r="C814" s="329"/>
      <c r="D814" s="325" t="str">
        <f t="shared" si="16"/>
        <v>NACE N - 73 Activities of advertising, market research and public relations</v>
      </c>
      <c r="K814" t="s">
        <v>2841</v>
      </c>
    </row>
    <row r="815" spans="1:11" x14ac:dyDescent="0.35">
      <c r="A815" s="328" t="s">
        <v>1956</v>
      </c>
      <c r="B815" t="s">
        <v>1957</v>
      </c>
      <c r="C815" s="329"/>
      <c r="D815" s="328" t="str">
        <f t="shared" si="16"/>
        <v>NACE N - 73.1 Advertising</v>
      </c>
      <c r="K815" t="s">
        <v>2842</v>
      </c>
    </row>
    <row r="816" spans="1:11" x14ac:dyDescent="0.35">
      <c r="A816" s="329" t="s">
        <v>1958</v>
      </c>
      <c r="B816" t="s">
        <v>1959</v>
      </c>
      <c r="C816" s="329"/>
      <c r="D816" s="329" t="str">
        <f t="shared" si="16"/>
        <v>NACE N - 73.11 Activities of advertising agencies</v>
      </c>
      <c r="K816" t="s">
        <v>2959</v>
      </c>
    </row>
    <row r="817" spans="1:11" x14ac:dyDescent="0.35">
      <c r="A817" s="329" t="s">
        <v>1960</v>
      </c>
      <c r="B817" t="s">
        <v>1961</v>
      </c>
      <c r="C817" s="329"/>
      <c r="D817" s="329" t="str">
        <f t="shared" si="16"/>
        <v>NACE N - 73.12 Media representation</v>
      </c>
      <c r="K817" t="s">
        <v>2843</v>
      </c>
    </row>
    <row r="818" spans="1:11" x14ac:dyDescent="0.35">
      <c r="A818" s="328" t="s">
        <v>1962</v>
      </c>
      <c r="B818" t="s">
        <v>1963</v>
      </c>
      <c r="C818" s="329"/>
      <c r="D818" s="328" t="str">
        <f t="shared" si="16"/>
        <v>NACE N - 73.2 Market research and public opinion polling</v>
      </c>
      <c r="K818" t="s">
        <v>2844</v>
      </c>
    </row>
    <row r="819" spans="1:11" x14ac:dyDescent="0.35">
      <c r="A819" s="329" t="s">
        <v>1964</v>
      </c>
      <c r="B819" t="s">
        <v>1965</v>
      </c>
      <c r="C819" s="329"/>
      <c r="D819" s="329" t="str">
        <f t="shared" si="16"/>
        <v>NACE N - 73.20 Market research and public opinion polling</v>
      </c>
      <c r="K819" t="s">
        <v>2845</v>
      </c>
    </row>
    <row r="820" spans="1:11" x14ac:dyDescent="0.35">
      <c r="A820" s="328" t="s">
        <v>1966</v>
      </c>
      <c r="B820" t="s">
        <v>1967</v>
      </c>
      <c r="C820" s="329"/>
      <c r="D820" s="328" t="str">
        <f t="shared" si="16"/>
        <v>NACE N - 73.3 Public relations and communication activities</v>
      </c>
      <c r="K820" t="s">
        <v>2846</v>
      </c>
    </row>
    <row r="821" spans="1:11" x14ac:dyDescent="0.35">
      <c r="A821" s="329" t="s">
        <v>1968</v>
      </c>
      <c r="B821" t="s">
        <v>1969</v>
      </c>
      <c r="C821" s="329"/>
      <c r="D821" s="329" t="str">
        <f t="shared" si="16"/>
        <v>NACE N - 73.30 Public relations and communication activities</v>
      </c>
    </row>
    <row r="822" spans="1:11" x14ac:dyDescent="0.35">
      <c r="A822" s="325" t="s">
        <v>1970</v>
      </c>
      <c r="B822" t="s">
        <v>1971</v>
      </c>
      <c r="C822" s="329"/>
      <c r="D822" s="325" t="str">
        <f t="shared" si="16"/>
        <v>NACE N - 74 Other professional, scientific and technical activities</v>
      </c>
    </row>
    <row r="823" spans="1:11" x14ac:dyDescent="0.35">
      <c r="A823" s="328" t="s">
        <v>1972</v>
      </c>
      <c r="B823" t="s">
        <v>1973</v>
      </c>
      <c r="C823" s="329"/>
      <c r="D823" s="328" t="str">
        <f t="shared" si="16"/>
        <v>NACE N - 74.1 Specialised design activities</v>
      </c>
    </row>
    <row r="824" spans="1:11" x14ac:dyDescent="0.35">
      <c r="A824" s="329" t="s">
        <v>1974</v>
      </c>
      <c r="B824" t="s">
        <v>1975</v>
      </c>
      <c r="C824" s="329"/>
      <c r="D824" s="329" t="str">
        <f t="shared" si="16"/>
        <v>NACE N - 74.11 Industrial product and fashion design activities</v>
      </c>
    </row>
    <row r="825" spans="1:11" x14ac:dyDescent="0.35">
      <c r="A825" s="329" t="s">
        <v>1976</v>
      </c>
      <c r="B825" t="s">
        <v>1977</v>
      </c>
      <c r="C825" s="329"/>
      <c r="D825" s="329" t="str">
        <f t="shared" si="16"/>
        <v>NACE N - 74.12 Graphic design and visual communication activities</v>
      </c>
    </row>
    <row r="826" spans="1:11" x14ac:dyDescent="0.35">
      <c r="A826" s="329" t="s">
        <v>1978</v>
      </c>
      <c r="B826" t="s">
        <v>1979</v>
      </c>
      <c r="C826" s="329"/>
      <c r="D826" s="329" t="str">
        <f t="shared" si="16"/>
        <v>NACE N - 74.13 Interior design activities</v>
      </c>
    </row>
    <row r="827" spans="1:11" x14ac:dyDescent="0.35">
      <c r="A827" s="329" t="s">
        <v>1980</v>
      </c>
      <c r="B827" t="s">
        <v>1981</v>
      </c>
      <c r="C827" s="329"/>
      <c r="D827" s="329" t="str">
        <f t="shared" si="16"/>
        <v>NACE N - 74.14 Other specialised design activities</v>
      </c>
    </row>
    <row r="828" spans="1:11" x14ac:dyDescent="0.35">
      <c r="A828" s="328" t="s">
        <v>1982</v>
      </c>
      <c r="B828" t="s">
        <v>1983</v>
      </c>
      <c r="C828" s="329"/>
      <c r="D828" s="328" t="str">
        <f t="shared" si="16"/>
        <v>NACE N - 74.2 Photographic activities</v>
      </c>
    </row>
    <row r="829" spans="1:11" x14ac:dyDescent="0.35">
      <c r="A829" s="329" t="s">
        <v>1984</v>
      </c>
      <c r="B829" t="s">
        <v>1985</v>
      </c>
      <c r="C829" s="329"/>
      <c r="D829" s="329" t="str">
        <f t="shared" si="16"/>
        <v>NACE N - 74.20 Photographic activities</v>
      </c>
    </row>
    <row r="830" spans="1:11" x14ac:dyDescent="0.35">
      <c r="A830" s="328" t="s">
        <v>1986</v>
      </c>
      <c r="B830" t="s">
        <v>1987</v>
      </c>
      <c r="C830" s="329"/>
      <c r="D830" s="328" t="str">
        <f t="shared" si="16"/>
        <v>NACE N - 74.3 Translation and interpretation activities</v>
      </c>
    </row>
    <row r="831" spans="1:11" x14ac:dyDescent="0.35">
      <c r="A831" s="329" t="s">
        <v>1988</v>
      </c>
      <c r="B831" t="s">
        <v>1989</v>
      </c>
      <c r="C831" s="329"/>
      <c r="D831" s="329" t="str">
        <f t="shared" si="16"/>
        <v>NACE N - 74.30 Translation and interpretation activities</v>
      </c>
    </row>
    <row r="832" spans="1:11" x14ac:dyDescent="0.35">
      <c r="A832" s="328" t="s">
        <v>1990</v>
      </c>
      <c r="B832" t="s">
        <v>1991</v>
      </c>
      <c r="C832" s="329"/>
      <c r="D832" s="328" t="str">
        <f t="shared" si="16"/>
        <v>NACE N - 74.9 Other professional, scientific and technical activities n.e.c.</v>
      </c>
    </row>
    <row r="833" spans="1:4" x14ac:dyDescent="0.35">
      <c r="A833" s="329" t="s">
        <v>1992</v>
      </c>
      <c r="B833" t="s">
        <v>1993</v>
      </c>
      <c r="C833" s="329"/>
      <c r="D833" s="329" t="str">
        <f t="shared" si="16"/>
        <v>NACE N - 74.91 Patent brokering and marketing service activities</v>
      </c>
    </row>
    <row r="834" spans="1:4" x14ac:dyDescent="0.35">
      <c r="A834" s="329" t="s">
        <v>1994</v>
      </c>
      <c r="B834" t="s">
        <v>1995</v>
      </c>
      <c r="C834" s="329"/>
      <c r="D834" s="329" t="str">
        <f t="shared" ref="D834:D897" si="17">_xlfn.CONCAT("NACE ", A834)</f>
        <v>NACE N - 74.99 All other professional, scientific and technical activities n.e.c.</v>
      </c>
    </row>
    <row r="835" spans="1:4" x14ac:dyDescent="0.35">
      <c r="A835" s="325" t="s">
        <v>1996</v>
      </c>
      <c r="B835" t="s">
        <v>1997</v>
      </c>
      <c r="C835" s="329"/>
      <c r="D835" s="325" t="str">
        <f t="shared" si="17"/>
        <v>NACE N - 75 Veterinary activities</v>
      </c>
    </row>
    <row r="836" spans="1:4" x14ac:dyDescent="0.35">
      <c r="A836" s="328" t="s">
        <v>1998</v>
      </c>
      <c r="B836" t="s">
        <v>1999</v>
      </c>
      <c r="C836" s="329"/>
      <c r="D836" s="328" t="str">
        <f t="shared" si="17"/>
        <v>NACE N - 75.0 Veterinary activities</v>
      </c>
    </row>
    <row r="837" spans="1:4" x14ac:dyDescent="0.35">
      <c r="A837" s="329" t="s">
        <v>2000</v>
      </c>
      <c r="B837" t="s">
        <v>2001</v>
      </c>
      <c r="C837" s="329"/>
      <c r="D837" s="329" t="str">
        <f t="shared" si="17"/>
        <v>NACE N - 75.00 Veterinary activities</v>
      </c>
    </row>
    <row r="838" spans="1:4" x14ac:dyDescent="0.35">
      <c r="A838" s="326" t="s">
        <v>2002</v>
      </c>
      <c r="B838" t="s">
        <v>2003</v>
      </c>
      <c r="C838" s="329"/>
      <c r="D838" s="326" t="str">
        <f t="shared" si="17"/>
        <v>NACE O - ADMINISTRATIVE AND SUPPORT SERVICE ACTIVITIES</v>
      </c>
    </row>
    <row r="839" spans="1:4" x14ac:dyDescent="0.35">
      <c r="A839" s="325" t="s">
        <v>2004</v>
      </c>
      <c r="B839" t="s">
        <v>2005</v>
      </c>
      <c r="C839" s="329"/>
      <c r="D839" s="325" t="str">
        <f t="shared" si="17"/>
        <v>NACE O - 77 Rental and leasing activities</v>
      </c>
    </row>
    <row r="840" spans="1:4" x14ac:dyDescent="0.35">
      <c r="A840" s="328" t="s">
        <v>2006</v>
      </c>
      <c r="B840" t="s">
        <v>2007</v>
      </c>
      <c r="C840" s="329"/>
      <c r="D840" s="328" t="str">
        <f t="shared" si="17"/>
        <v>NACE O - 77.1 Rental and leasing of motor vehicles</v>
      </c>
    </row>
    <row r="841" spans="1:4" x14ac:dyDescent="0.35">
      <c r="A841" s="329" t="s">
        <v>2008</v>
      </c>
      <c r="B841" t="s">
        <v>2009</v>
      </c>
      <c r="C841" s="329"/>
      <c r="D841" s="329" t="str">
        <f t="shared" si="17"/>
        <v>NACE O - 77.11 Rental and leasing of cars and light motor vehicles</v>
      </c>
    </row>
    <row r="842" spans="1:4" x14ac:dyDescent="0.35">
      <c r="A842" s="329" t="s">
        <v>2010</v>
      </c>
      <c r="B842" t="s">
        <v>2011</v>
      </c>
      <c r="C842" s="329"/>
      <c r="D842" s="329" t="str">
        <f t="shared" si="17"/>
        <v>NACE O - 77.12 Rental and leasing of trucks</v>
      </c>
    </row>
    <row r="843" spans="1:4" x14ac:dyDescent="0.35">
      <c r="A843" s="328" t="s">
        <v>2012</v>
      </c>
      <c r="B843" t="s">
        <v>2013</v>
      </c>
      <c r="C843" s="329"/>
      <c r="D843" s="328" t="str">
        <f t="shared" si="17"/>
        <v>NACE O - 77.2 Rental and leasing of personal and household goods</v>
      </c>
    </row>
    <row r="844" spans="1:4" x14ac:dyDescent="0.35">
      <c r="A844" s="329" t="s">
        <v>2014</v>
      </c>
      <c r="B844" t="s">
        <v>2015</v>
      </c>
      <c r="C844" s="329"/>
      <c r="D844" s="329" t="str">
        <f t="shared" si="17"/>
        <v>NACE O - 77.21 Rental and leasing of recreational and sports goods</v>
      </c>
    </row>
    <row r="845" spans="1:4" x14ac:dyDescent="0.35">
      <c r="A845" s="329" t="s">
        <v>2016</v>
      </c>
      <c r="B845" t="s">
        <v>2017</v>
      </c>
      <c r="C845" s="329"/>
      <c r="D845" s="329" t="str">
        <f t="shared" si="17"/>
        <v>NACE O - 77.22 Rental and leasing of other personal and household goods</v>
      </c>
    </row>
    <row r="846" spans="1:4" x14ac:dyDescent="0.35">
      <c r="A846" s="328" t="s">
        <v>2018</v>
      </c>
      <c r="B846" t="s">
        <v>2019</v>
      </c>
      <c r="C846" s="329"/>
      <c r="D846" s="328" t="str">
        <f t="shared" si="17"/>
        <v>NACE O - 77.3 Rental and leasing of other machinery, equipment and tangible goods</v>
      </c>
    </row>
    <row r="847" spans="1:4" x14ac:dyDescent="0.35">
      <c r="A847" s="329" t="s">
        <v>2020</v>
      </c>
      <c r="B847" t="s">
        <v>2021</v>
      </c>
      <c r="C847" s="329"/>
      <c r="D847" s="329" t="str">
        <f t="shared" si="17"/>
        <v>NACE O - 77.31 Rental and leasing of agricultural machinery and equipment</v>
      </c>
    </row>
    <row r="848" spans="1:4" x14ac:dyDescent="0.35">
      <c r="A848" s="329" t="s">
        <v>2022</v>
      </c>
      <c r="B848" t="s">
        <v>2023</v>
      </c>
      <c r="C848" s="329"/>
      <c r="D848" s="329" t="str">
        <f t="shared" si="17"/>
        <v>NACE O - 77.32 Rental and leasing of construction and civil engineering machinery and equipment</v>
      </c>
    </row>
    <row r="849" spans="1:4" x14ac:dyDescent="0.35">
      <c r="A849" s="329" t="s">
        <v>2024</v>
      </c>
      <c r="B849" t="s">
        <v>2025</v>
      </c>
      <c r="C849" s="329"/>
      <c r="D849" s="329" t="str">
        <f t="shared" si="17"/>
        <v>NACE O - 77.33 Rental and leasing of office machinery, equipment and computers</v>
      </c>
    </row>
    <row r="850" spans="1:4" x14ac:dyDescent="0.35">
      <c r="A850" s="329" t="s">
        <v>2026</v>
      </c>
      <c r="B850" t="s">
        <v>2027</v>
      </c>
      <c r="C850" s="329"/>
      <c r="D850" s="329" t="str">
        <f t="shared" si="17"/>
        <v>NACE O - 77.34 Rental and leasing of water transport equipment</v>
      </c>
    </row>
    <row r="851" spans="1:4" x14ac:dyDescent="0.35">
      <c r="A851" s="329" t="s">
        <v>2028</v>
      </c>
      <c r="B851" t="s">
        <v>2029</v>
      </c>
      <c r="C851" s="329"/>
      <c r="D851" s="329" t="str">
        <f t="shared" si="17"/>
        <v>NACE O - 77.35 Rental and leasing of air transport equipment</v>
      </c>
    </row>
    <row r="852" spans="1:4" x14ac:dyDescent="0.35">
      <c r="A852" s="329" t="s">
        <v>2030</v>
      </c>
      <c r="B852" t="s">
        <v>2031</v>
      </c>
      <c r="C852" s="329"/>
      <c r="D852" s="329" t="str">
        <f t="shared" si="17"/>
        <v>NACE O - 77.39 Rental and leasing of other machinery, equipment and tangible goods n.e.c.</v>
      </c>
    </row>
    <row r="853" spans="1:4" x14ac:dyDescent="0.35">
      <c r="A853" s="328" t="s">
        <v>2032</v>
      </c>
      <c r="B853" t="s">
        <v>2033</v>
      </c>
      <c r="C853" s="329"/>
      <c r="D853" s="328" t="str">
        <f t="shared" si="17"/>
        <v>NACE O - 77.4 Leasing of intellectual property and similar products, except copyrighted works</v>
      </c>
    </row>
    <row r="854" spans="1:4" x14ac:dyDescent="0.35">
      <c r="A854" s="329" t="s">
        <v>2034</v>
      </c>
      <c r="B854" t="s">
        <v>2035</v>
      </c>
      <c r="C854" s="329"/>
      <c r="D854" s="329" t="str">
        <f t="shared" si="17"/>
        <v>NACE O - 77.40 Leasing of intellectual property and similar products, except copyrighted works</v>
      </c>
    </row>
    <row r="855" spans="1:4" x14ac:dyDescent="0.35">
      <c r="A855" s="328" t="s">
        <v>2036</v>
      </c>
      <c r="B855" t="s">
        <v>2037</v>
      </c>
      <c r="C855" s="329"/>
      <c r="D855" s="328" t="str">
        <f t="shared" si="17"/>
        <v>NACE O - 77.5 Intermediation service activities for rental and leasing of tangible goods and non-financial intangible assets</v>
      </c>
    </row>
    <row r="856" spans="1:4" x14ac:dyDescent="0.35">
      <c r="A856" s="329" t="s">
        <v>2038</v>
      </c>
      <c r="B856" t="s">
        <v>2039</v>
      </c>
      <c r="C856" s="329"/>
      <c r="D856" s="329" t="str">
        <f t="shared" si="17"/>
        <v>NACE O - 77.51 Intermediation service activities for rental and leasing of cars, motorhomes and trailers</v>
      </c>
    </row>
    <row r="857" spans="1:4" x14ac:dyDescent="0.35">
      <c r="A857" s="329" t="s">
        <v>2040</v>
      </c>
      <c r="B857" t="s">
        <v>2041</v>
      </c>
      <c r="C857" s="329"/>
      <c r="D857" s="329" t="str">
        <f t="shared" si="17"/>
        <v>NACE O - 77.52 Intermediation service activities for rental and leasing of other tangible goods and non-financial intangible assets</v>
      </c>
    </row>
    <row r="858" spans="1:4" x14ac:dyDescent="0.35">
      <c r="A858" s="325" t="s">
        <v>2042</v>
      </c>
      <c r="B858" t="s">
        <v>2043</v>
      </c>
      <c r="C858" s="329"/>
      <c r="D858" s="325" t="str">
        <f t="shared" si="17"/>
        <v>NACE O - 78 Employment activities</v>
      </c>
    </row>
    <row r="859" spans="1:4" x14ac:dyDescent="0.35">
      <c r="A859" s="328" t="s">
        <v>2044</v>
      </c>
      <c r="B859" t="s">
        <v>2045</v>
      </c>
      <c r="C859" s="329"/>
      <c r="D859" s="328" t="str">
        <f t="shared" si="17"/>
        <v>NACE O - 78.1 Activities of employment placement agencies</v>
      </c>
    </row>
    <row r="860" spans="1:4" x14ac:dyDescent="0.35">
      <c r="A860" s="329" t="s">
        <v>2046</v>
      </c>
      <c r="B860" t="s">
        <v>2047</v>
      </c>
      <c r="C860" s="329"/>
      <c r="D860" s="329" t="str">
        <f t="shared" si="17"/>
        <v>NACE O - 78.10 Activities of employment placement agencies</v>
      </c>
    </row>
    <row r="861" spans="1:4" x14ac:dyDescent="0.35">
      <c r="A861" s="328" t="s">
        <v>2048</v>
      </c>
      <c r="B861" t="s">
        <v>2049</v>
      </c>
      <c r="C861" s="329"/>
      <c r="D861" s="328" t="str">
        <f t="shared" si="17"/>
        <v>NACE O - 78.2 Temporary employment agency activities and other human resource provisions</v>
      </c>
    </row>
    <row r="862" spans="1:4" x14ac:dyDescent="0.35">
      <c r="A862" s="329" t="s">
        <v>2050</v>
      </c>
      <c r="B862" t="s">
        <v>2051</v>
      </c>
      <c r="C862" s="329"/>
      <c r="D862" s="329" t="str">
        <f t="shared" si="17"/>
        <v>NACE O - 78.20 Temporary employment agency activities and other human resource provisions</v>
      </c>
    </row>
    <row r="863" spans="1:4" x14ac:dyDescent="0.35">
      <c r="A863" s="325" t="s">
        <v>2052</v>
      </c>
      <c r="B863" t="s">
        <v>2053</v>
      </c>
      <c r="C863" s="329"/>
      <c r="D863" s="325" t="str">
        <f t="shared" si="17"/>
        <v>NACE O - 79 Travel agency, tour operator and other reservation service and related activities</v>
      </c>
    </row>
    <row r="864" spans="1:4" x14ac:dyDescent="0.35">
      <c r="A864" s="328" t="s">
        <v>2054</v>
      </c>
      <c r="B864" t="s">
        <v>2055</v>
      </c>
      <c r="C864" s="329"/>
      <c r="D864" s="328" t="str">
        <f t="shared" si="17"/>
        <v>NACE O - 79.1 Travel agency and tour operator activities</v>
      </c>
    </row>
    <row r="865" spans="1:4" x14ac:dyDescent="0.35">
      <c r="A865" s="329" t="s">
        <v>2056</v>
      </c>
      <c r="B865" t="s">
        <v>2057</v>
      </c>
      <c r="C865" s="329"/>
      <c r="D865" s="329" t="str">
        <f t="shared" si="17"/>
        <v>NACE O - 79.11 Travel agency activities</v>
      </c>
    </row>
    <row r="866" spans="1:4" x14ac:dyDescent="0.35">
      <c r="A866" s="329" t="s">
        <v>2058</v>
      </c>
      <c r="B866" t="s">
        <v>2059</v>
      </c>
      <c r="C866" s="329"/>
      <c r="D866" s="329" t="str">
        <f t="shared" si="17"/>
        <v>NACE O - 79.12 Tour operator activities</v>
      </c>
    </row>
    <row r="867" spans="1:4" x14ac:dyDescent="0.35">
      <c r="A867" s="328" t="s">
        <v>2060</v>
      </c>
      <c r="B867" t="s">
        <v>2061</v>
      </c>
      <c r="C867" s="329"/>
      <c r="D867" s="328" t="str">
        <f t="shared" si="17"/>
        <v>NACE O - 79.9 Other reservation service and related activities</v>
      </c>
    </row>
    <row r="868" spans="1:4" x14ac:dyDescent="0.35">
      <c r="A868" s="329" t="s">
        <v>2062</v>
      </c>
      <c r="B868" t="s">
        <v>2063</v>
      </c>
      <c r="C868" s="329"/>
      <c r="D868" s="329" t="str">
        <f t="shared" si="17"/>
        <v>NACE O - 79.90 Other reservation service and related activities</v>
      </c>
    </row>
    <row r="869" spans="1:4" x14ac:dyDescent="0.35">
      <c r="A869" s="325" t="s">
        <v>2064</v>
      </c>
      <c r="B869" t="s">
        <v>2065</v>
      </c>
      <c r="C869" s="329"/>
      <c r="D869" s="325" t="str">
        <f t="shared" si="17"/>
        <v>NACE O - 80 Investigation and security activities</v>
      </c>
    </row>
    <row r="870" spans="1:4" x14ac:dyDescent="0.35">
      <c r="A870" s="328" t="s">
        <v>2066</v>
      </c>
      <c r="B870" t="s">
        <v>2067</v>
      </c>
      <c r="C870" s="329"/>
      <c r="D870" s="328" t="str">
        <f t="shared" si="17"/>
        <v>NACE O - 80.0 Investigation and security activities</v>
      </c>
    </row>
    <row r="871" spans="1:4" x14ac:dyDescent="0.35">
      <c r="A871" s="329" t="s">
        <v>2068</v>
      </c>
      <c r="B871" t="s">
        <v>2069</v>
      </c>
      <c r="C871" s="329"/>
      <c r="D871" s="329" t="str">
        <f t="shared" si="17"/>
        <v>NACE O - 80.01 Investigation and private security activities</v>
      </c>
    </row>
    <row r="872" spans="1:4" x14ac:dyDescent="0.35">
      <c r="A872" s="329" t="s">
        <v>2070</v>
      </c>
      <c r="B872" t="s">
        <v>2071</v>
      </c>
      <c r="C872" s="329"/>
      <c r="D872" s="329" t="str">
        <f t="shared" si="17"/>
        <v>NACE O - 80.09 Security activities n.e.c.</v>
      </c>
    </row>
    <row r="873" spans="1:4" x14ac:dyDescent="0.35">
      <c r="A873" s="325" t="s">
        <v>2072</v>
      </c>
      <c r="B873" t="s">
        <v>2073</v>
      </c>
      <c r="C873" s="329"/>
      <c r="D873" s="325" t="str">
        <f t="shared" si="17"/>
        <v>NACE O - 81 Services to buildings and landscape activities</v>
      </c>
    </row>
    <row r="874" spans="1:4" x14ac:dyDescent="0.35">
      <c r="A874" s="328" t="s">
        <v>2074</v>
      </c>
      <c r="B874" t="s">
        <v>2075</v>
      </c>
      <c r="C874" s="329"/>
      <c r="D874" s="328" t="str">
        <f t="shared" si="17"/>
        <v>NACE O - 81.1 Combined facilities support activities</v>
      </c>
    </row>
    <row r="875" spans="1:4" x14ac:dyDescent="0.35">
      <c r="A875" s="329" t="s">
        <v>2076</v>
      </c>
      <c r="B875" t="s">
        <v>2077</v>
      </c>
      <c r="C875" s="329"/>
      <c r="D875" s="329" t="str">
        <f t="shared" si="17"/>
        <v>NACE O - 81.10 Combined facilities support activities</v>
      </c>
    </row>
    <row r="876" spans="1:4" x14ac:dyDescent="0.35">
      <c r="A876" s="328" t="s">
        <v>2078</v>
      </c>
      <c r="B876" t="s">
        <v>2079</v>
      </c>
      <c r="C876" s="329"/>
      <c r="D876" s="328" t="str">
        <f t="shared" si="17"/>
        <v>NACE O - 81.2 Cleaning activities</v>
      </c>
    </row>
    <row r="877" spans="1:4" x14ac:dyDescent="0.35">
      <c r="A877" s="329" t="s">
        <v>2080</v>
      </c>
      <c r="B877" t="s">
        <v>2081</v>
      </c>
      <c r="C877" s="329"/>
      <c r="D877" s="329" t="str">
        <f t="shared" si="17"/>
        <v>NACE O - 81.21 General cleaning of buildings</v>
      </c>
    </row>
    <row r="878" spans="1:4" x14ac:dyDescent="0.35">
      <c r="A878" s="329" t="s">
        <v>2082</v>
      </c>
      <c r="B878" t="s">
        <v>2083</v>
      </c>
      <c r="C878" s="329"/>
      <c r="D878" s="329" t="str">
        <f t="shared" si="17"/>
        <v>NACE O - 81.22 Other building and industrial cleaning activities</v>
      </c>
    </row>
    <row r="879" spans="1:4" x14ac:dyDescent="0.35">
      <c r="A879" s="329" t="s">
        <v>2084</v>
      </c>
      <c r="B879" t="s">
        <v>2085</v>
      </c>
      <c r="C879" s="329"/>
      <c r="D879" s="329" t="str">
        <f t="shared" si="17"/>
        <v>NACE O - 81.23 Other cleaning activities</v>
      </c>
    </row>
    <row r="880" spans="1:4" x14ac:dyDescent="0.35">
      <c r="A880" s="328" t="s">
        <v>2086</v>
      </c>
      <c r="B880" t="s">
        <v>2087</v>
      </c>
      <c r="C880" s="329"/>
      <c r="D880" s="328" t="str">
        <f t="shared" si="17"/>
        <v>NACE O - 81.3 Landscape service activities</v>
      </c>
    </row>
    <row r="881" spans="1:4" x14ac:dyDescent="0.35">
      <c r="A881" s="329" t="s">
        <v>2088</v>
      </c>
      <c r="B881" t="s">
        <v>2089</v>
      </c>
      <c r="C881" s="329"/>
      <c r="D881" s="329" t="str">
        <f t="shared" si="17"/>
        <v>NACE O - 81.30 Landscape service activities</v>
      </c>
    </row>
    <row r="882" spans="1:4" x14ac:dyDescent="0.35">
      <c r="A882" s="325" t="s">
        <v>2090</v>
      </c>
      <c r="B882" t="s">
        <v>2091</v>
      </c>
      <c r="C882" s="329"/>
      <c r="D882" s="325" t="str">
        <f t="shared" si="17"/>
        <v>NACE O - 82 Office administrative, office support and other business support activities</v>
      </c>
    </row>
    <row r="883" spans="1:4" x14ac:dyDescent="0.35">
      <c r="A883" s="328" t="s">
        <v>2092</v>
      </c>
      <c r="B883" t="s">
        <v>2093</v>
      </c>
      <c r="C883" s="329"/>
      <c r="D883" s="328" t="str">
        <f t="shared" si="17"/>
        <v>NACE O - 82.1 Office administrative and support activities</v>
      </c>
    </row>
    <row r="884" spans="1:4" x14ac:dyDescent="0.35">
      <c r="A884" s="329" t="s">
        <v>2094</v>
      </c>
      <c r="B884" t="s">
        <v>2095</v>
      </c>
      <c r="C884" s="329"/>
      <c r="D884" s="329" t="str">
        <f t="shared" si="17"/>
        <v>NACE O - 82.10 Office administrative and support activities</v>
      </c>
    </row>
    <row r="885" spans="1:4" x14ac:dyDescent="0.35">
      <c r="A885" s="328" t="s">
        <v>2096</v>
      </c>
      <c r="B885" t="s">
        <v>2097</v>
      </c>
      <c r="C885" s="329"/>
      <c r="D885" s="328" t="str">
        <f t="shared" si="17"/>
        <v>NACE O - 82.2 Activities of call centres</v>
      </c>
    </row>
    <row r="886" spans="1:4" x14ac:dyDescent="0.35">
      <c r="A886" s="329" t="s">
        <v>2098</v>
      </c>
      <c r="B886" t="s">
        <v>2099</v>
      </c>
      <c r="C886" s="329"/>
      <c r="D886" s="329" t="str">
        <f t="shared" si="17"/>
        <v>NACE O - 82.20 Activities of call centres</v>
      </c>
    </row>
    <row r="887" spans="1:4" x14ac:dyDescent="0.35">
      <c r="A887" s="328" t="s">
        <v>2100</v>
      </c>
      <c r="B887" t="s">
        <v>2101</v>
      </c>
      <c r="C887" s="329"/>
      <c r="D887" s="328" t="str">
        <f t="shared" si="17"/>
        <v>NACE O - 82.3 Organisation of conventions and trade shows</v>
      </c>
    </row>
    <row r="888" spans="1:4" x14ac:dyDescent="0.35">
      <c r="A888" s="329" t="s">
        <v>2102</v>
      </c>
      <c r="B888" t="s">
        <v>2103</v>
      </c>
      <c r="C888" s="329"/>
      <c r="D888" s="329" t="str">
        <f t="shared" si="17"/>
        <v>NACE O - 82.30 Organisation of conventions and trade shows</v>
      </c>
    </row>
    <row r="889" spans="1:4" x14ac:dyDescent="0.35">
      <c r="A889" s="328" t="s">
        <v>2104</v>
      </c>
      <c r="B889" t="s">
        <v>2105</v>
      </c>
      <c r="C889" s="329"/>
      <c r="D889" s="328" t="str">
        <f t="shared" si="17"/>
        <v>NACE O - 82.4 Intermediation service activities for business support service activities n.e.c.</v>
      </c>
    </row>
    <row r="890" spans="1:4" x14ac:dyDescent="0.35">
      <c r="A890" s="329" t="s">
        <v>2106</v>
      </c>
      <c r="B890" t="s">
        <v>2107</v>
      </c>
      <c r="C890" s="329"/>
      <c r="D890" s="329" t="str">
        <f t="shared" si="17"/>
        <v>NACE O - 82.40 Intermediation service activities for business support service activities n.e.c.</v>
      </c>
    </row>
    <row r="891" spans="1:4" x14ac:dyDescent="0.35">
      <c r="A891" s="328" t="s">
        <v>2108</v>
      </c>
      <c r="B891" t="s">
        <v>2109</v>
      </c>
      <c r="C891" s="329"/>
      <c r="D891" s="328" t="str">
        <f t="shared" si="17"/>
        <v>NACE O - 82.9 Business support service activities n.e.c.</v>
      </c>
    </row>
    <row r="892" spans="1:4" x14ac:dyDescent="0.35">
      <c r="A892" s="329" t="s">
        <v>2110</v>
      </c>
      <c r="B892" t="s">
        <v>2111</v>
      </c>
      <c r="C892" s="329"/>
      <c r="D892" s="329" t="str">
        <f t="shared" si="17"/>
        <v>NACE O - 82.91 Activities of collection agencies and credit bureaus</v>
      </c>
    </row>
    <row r="893" spans="1:4" x14ac:dyDescent="0.35">
      <c r="A893" s="329" t="s">
        <v>2112</v>
      </c>
      <c r="B893" t="s">
        <v>2113</v>
      </c>
      <c r="C893" s="329"/>
      <c r="D893" s="329" t="str">
        <f t="shared" si="17"/>
        <v>NACE O - 82.92 Packaging activities</v>
      </c>
    </row>
    <row r="894" spans="1:4" x14ac:dyDescent="0.35">
      <c r="A894" s="329" t="s">
        <v>2114</v>
      </c>
      <c r="B894" t="s">
        <v>2115</v>
      </c>
      <c r="C894" s="329"/>
      <c r="D894" s="329" t="str">
        <f t="shared" si="17"/>
        <v>NACE O - 82.99 Other business support service activities n.e.c.</v>
      </c>
    </row>
    <row r="895" spans="1:4" x14ac:dyDescent="0.35">
      <c r="A895" s="326" t="s">
        <v>2116</v>
      </c>
      <c r="B895" t="s">
        <v>2117</v>
      </c>
      <c r="C895" s="329"/>
      <c r="D895" s="326" t="str">
        <f t="shared" si="17"/>
        <v>NACE P - PUBLIC ADMINISTRATION AND DEFENCE; COMPULSORY SOCIAL SECURITY</v>
      </c>
    </row>
    <row r="896" spans="1:4" x14ac:dyDescent="0.35">
      <c r="A896" s="325" t="s">
        <v>2118</v>
      </c>
      <c r="B896" t="s">
        <v>2119</v>
      </c>
      <c r="C896" s="329"/>
      <c r="D896" s="325" t="str">
        <f t="shared" si="17"/>
        <v>NACE P - 84 Public administration and defence; compulsory social security</v>
      </c>
    </row>
    <row r="897" spans="1:4" x14ac:dyDescent="0.35">
      <c r="A897" s="328" t="s">
        <v>2120</v>
      </c>
      <c r="B897" t="s">
        <v>2121</v>
      </c>
      <c r="C897" s="329"/>
      <c r="D897" s="328" t="str">
        <f t="shared" si="17"/>
        <v>NACE P - 84.1 Administration of the State and the economic, social and environmental policies of the community</v>
      </c>
    </row>
    <row r="898" spans="1:4" x14ac:dyDescent="0.35">
      <c r="A898" s="329" t="s">
        <v>2122</v>
      </c>
      <c r="B898" t="s">
        <v>2123</v>
      </c>
      <c r="C898" s="329"/>
      <c r="D898" s="329" t="str">
        <f t="shared" ref="D898:D961" si="18">_xlfn.CONCAT("NACE ", A898)</f>
        <v>NACE P - 84.11 General public administration activities</v>
      </c>
    </row>
    <row r="899" spans="1:4" x14ac:dyDescent="0.35">
      <c r="A899" s="329" t="s">
        <v>2124</v>
      </c>
      <c r="B899" t="s">
        <v>2125</v>
      </c>
      <c r="C899" s="329"/>
      <c r="D899" s="329" t="str">
        <f t="shared" si="18"/>
        <v>NACE P - 84.12 Regulation of health care, education, cultural services and other social services</v>
      </c>
    </row>
    <row r="900" spans="1:4" x14ac:dyDescent="0.35">
      <c r="A900" s="329" t="s">
        <v>2126</v>
      </c>
      <c r="B900" t="s">
        <v>2127</v>
      </c>
      <c r="C900" s="329"/>
      <c r="D900" s="329" t="str">
        <f t="shared" si="18"/>
        <v>NACE P - 84.13 Regulation of and contribution to more efficient operation of businesses</v>
      </c>
    </row>
    <row r="901" spans="1:4" x14ac:dyDescent="0.35">
      <c r="A901" s="328" t="s">
        <v>2128</v>
      </c>
      <c r="B901" t="s">
        <v>2129</v>
      </c>
      <c r="C901" s="329"/>
      <c r="D901" s="328" t="str">
        <f t="shared" si="18"/>
        <v>NACE P - 84.2 Provision of services to the community as a whole</v>
      </c>
    </row>
    <row r="902" spans="1:4" x14ac:dyDescent="0.35">
      <c r="A902" s="329" t="s">
        <v>2130</v>
      </c>
      <c r="B902" t="s">
        <v>2131</v>
      </c>
      <c r="C902" s="329"/>
      <c r="D902" s="329" t="str">
        <f t="shared" si="18"/>
        <v>NACE P - 84.21 Foreign affairs</v>
      </c>
    </row>
    <row r="903" spans="1:4" x14ac:dyDescent="0.35">
      <c r="A903" s="329" t="s">
        <v>2132</v>
      </c>
      <c r="B903" t="s">
        <v>2133</v>
      </c>
      <c r="C903" s="329"/>
      <c r="D903" s="329" t="str">
        <f t="shared" si="18"/>
        <v>NACE P - 84.22 Defence activities</v>
      </c>
    </row>
    <row r="904" spans="1:4" x14ac:dyDescent="0.35">
      <c r="A904" s="329" t="s">
        <v>2134</v>
      </c>
      <c r="B904" t="s">
        <v>2135</v>
      </c>
      <c r="C904" s="329"/>
      <c r="D904" s="329" t="str">
        <f t="shared" si="18"/>
        <v>NACE P - 84.23 Justice and judicial activities</v>
      </c>
    </row>
    <row r="905" spans="1:4" x14ac:dyDescent="0.35">
      <c r="A905" s="329" t="s">
        <v>2136</v>
      </c>
      <c r="B905" t="s">
        <v>2137</v>
      </c>
      <c r="C905" s="329"/>
      <c r="D905" s="329" t="str">
        <f t="shared" si="18"/>
        <v>NACE P - 84.24 Public order and safety activities</v>
      </c>
    </row>
    <row r="906" spans="1:4" x14ac:dyDescent="0.35">
      <c r="A906" s="329" t="s">
        <v>2138</v>
      </c>
      <c r="B906" t="s">
        <v>2139</v>
      </c>
      <c r="C906" s="329"/>
      <c r="D906" s="329" t="str">
        <f t="shared" si="18"/>
        <v>NACE P - 84.25 Fire service activities</v>
      </c>
    </row>
    <row r="907" spans="1:4" x14ac:dyDescent="0.35">
      <c r="A907" s="328" t="s">
        <v>2140</v>
      </c>
      <c r="B907" t="s">
        <v>2141</v>
      </c>
      <c r="C907" s="329"/>
      <c r="D907" s="328" t="str">
        <f t="shared" si="18"/>
        <v>NACE P - 84.3 Compulsory social security activities</v>
      </c>
    </row>
    <row r="908" spans="1:4" x14ac:dyDescent="0.35">
      <c r="A908" s="329" t="s">
        <v>2142</v>
      </c>
      <c r="B908" t="s">
        <v>2143</v>
      </c>
      <c r="C908" s="329"/>
      <c r="D908" s="329" t="str">
        <f t="shared" si="18"/>
        <v>NACE P - 84.30 Compulsory social security activities</v>
      </c>
    </row>
    <row r="909" spans="1:4" x14ac:dyDescent="0.35">
      <c r="A909" s="326" t="s">
        <v>2144</v>
      </c>
      <c r="B909" t="s">
        <v>2145</v>
      </c>
      <c r="C909" s="329"/>
      <c r="D909" s="326" t="str">
        <f t="shared" si="18"/>
        <v>NACE Q - EDUCATION</v>
      </c>
    </row>
    <row r="910" spans="1:4" x14ac:dyDescent="0.35">
      <c r="A910" s="325" t="s">
        <v>2146</v>
      </c>
      <c r="B910" t="s">
        <v>2147</v>
      </c>
      <c r="C910" s="329"/>
      <c r="D910" s="325" t="str">
        <f t="shared" si="18"/>
        <v>NACE Q - 85 Education</v>
      </c>
    </row>
    <row r="911" spans="1:4" x14ac:dyDescent="0.35">
      <c r="A911" s="328" t="s">
        <v>2148</v>
      </c>
      <c r="B911" t="s">
        <v>2149</v>
      </c>
      <c r="C911" s="329"/>
      <c r="D911" s="328" t="str">
        <f t="shared" si="18"/>
        <v>NACE Q - 85.1 Pre-primary education</v>
      </c>
    </row>
    <row r="912" spans="1:4" x14ac:dyDescent="0.35">
      <c r="A912" s="329" t="s">
        <v>2150</v>
      </c>
      <c r="B912" t="s">
        <v>2151</v>
      </c>
      <c r="C912" s="329"/>
      <c r="D912" s="329" t="str">
        <f t="shared" si="18"/>
        <v>NACE Q - 85.10 Pre-primary education</v>
      </c>
    </row>
    <row r="913" spans="1:4" x14ac:dyDescent="0.35">
      <c r="A913" s="328" t="s">
        <v>2152</v>
      </c>
      <c r="B913" t="s">
        <v>2153</v>
      </c>
      <c r="C913" s="329"/>
      <c r="D913" s="328" t="str">
        <f t="shared" si="18"/>
        <v>NACE Q - 85.2 Primary education</v>
      </c>
    </row>
    <row r="914" spans="1:4" x14ac:dyDescent="0.35">
      <c r="A914" s="329" t="s">
        <v>2154</v>
      </c>
      <c r="B914" t="s">
        <v>2155</v>
      </c>
      <c r="C914" s="329"/>
      <c r="D914" s="329" t="str">
        <f t="shared" si="18"/>
        <v>NACE Q - 85.20 Primary education</v>
      </c>
    </row>
    <row r="915" spans="1:4" x14ac:dyDescent="0.35">
      <c r="A915" s="328" t="s">
        <v>2156</v>
      </c>
      <c r="B915" t="s">
        <v>2157</v>
      </c>
      <c r="C915" s="329"/>
      <c r="D915" s="328" t="str">
        <f t="shared" si="18"/>
        <v>NACE Q - 85.3 Secondary and post-secondary non-tertiary education</v>
      </c>
    </row>
    <row r="916" spans="1:4" x14ac:dyDescent="0.35">
      <c r="A916" s="329" t="s">
        <v>2158</v>
      </c>
      <c r="B916" t="s">
        <v>2159</v>
      </c>
      <c r="C916" s="329"/>
      <c r="D916" s="329" t="str">
        <f t="shared" si="18"/>
        <v>NACE Q - 85.31 General secondary education</v>
      </c>
    </row>
    <row r="917" spans="1:4" x14ac:dyDescent="0.35">
      <c r="A917" s="329" t="s">
        <v>2160</v>
      </c>
      <c r="B917" t="s">
        <v>2161</v>
      </c>
      <c r="C917" s="329"/>
      <c r="D917" s="329" t="str">
        <f t="shared" si="18"/>
        <v>NACE Q - 85.32 Vocational secondary education</v>
      </c>
    </row>
    <row r="918" spans="1:4" x14ac:dyDescent="0.35">
      <c r="A918" s="329" t="s">
        <v>2162</v>
      </c>
      <c r="B918" t="s">
        <v>2163</v>
      </c>
      <c r="C918" s="329"/>
      <c r="D918" s="329" t="str">
        <f t="shared" si="18"/>
        <v>NACE Q - 85.33 Post-secondary non-tertiary education</v>
      </c>
    </row>
    <row r="919" spans="1:4" x14ac:dyDescent="0.35">
      <c r="A919" s="328" t="s">
        <v>2164</v>
      </c>
      <c r="B919" t="s">
        <v>2165</v>
      </c>
      <c r="C919" s="329"/>
      <c r="D919" s="328" t="str">
        <f t="shared" si="18"/>
        <v>NACE Q - 85.4 Tertiary education</v>
      </c>
    </row>
    <row r="920" spans="1:4" x14ac:dyDescent="0.35">
      <c r="A920" s="329" t="s">
        <v>2166</v>
      </c>
      <c r="B920" t="s">
        <v>2167</v>
      </c>
      <c r="C920" s="329"/>
      <c r="D920" s="329" t="str">
        <f t="shared" si="18"/>
        <v>NACE Q - 85.40 Tertiary education</v>
      </c>
    </row>
    <row r="921" spans="1:4" x14ac:dyDescent="0.35">
      <c r="A921" s="328" t="s">
        <v>2168</v>
      </c>
      <c r="B921" t="s">
        <v>2169</v>
      </c>
      <c r="C921" s="329"/>
      <c r="D921" s="328" t="str">
        <f t="shared" si="18"/>
        <v>NACE Q - 85.5 Other education</v>
      </c>
    </row>
    <row r="922" spans="1:4" x14ac:dyDescent="0.35">
      <c r="A922" s="329" t="s">
        <v>2170</v>
      </c>
      <c r="B922" t="s">
        <v>2171</v>
      </c>
      <c r="C922" s="329"/>
      <c r="D922" s="329" t="str">
        <f t="shared" si="18"/>
        <v>NACE Q - 85.51 Sports and recreation education</v>
      </c>
    </row>
    <row r="923" spans="1:4" x14ac:dyDescent="0.35">
      <c r="A923" s="329" t="s">
        <v>2172</v>
      </c>
      <c r="B923" t="s">
        <v>2173</v>
      </c>
      <c r="C923" s="329"/>
      <c r="D923" s="329" t="str">
        <f t="shared" si="18"/>
        <v>NACE Q - 85.52 Cultural education</v>
      </c>
    </row>
    <row r="924" spans="1:4" x14ac:dyDescent="0.35">
      <c r="A924" s="329" t="s">
        <v>2174</v>
      </c>
      <c r="B924" t="s">
        <v>2175</v>
      </c>
      <c r="C924" s="329"/>
      <c r="D924" s="329" t="str">
        <f t="shared" si="18"/>
        <v>NACE Q - 85.53 Driving school activities</v>
      </c>
    </row>
    <row r="925" spans="1:4" x14ac:dyDescent="0.35">
      <c r="A925" s="329" t="s">
        <v>2176</v>
      </c>
      <c r="B925" t="s">
        <v>2177</v>
      </c>
      <c r="C925" s="329"/>
      <c r="D925" s="329" t="str">
        <f t="shared" si="18"/>
        <v>NACE Q - 85.59 Other education n.e.c.</v>
      </c>
    </row>
    <row r="926" spans="1:4" x14ac:dyDescent="0.35">
      <c r="A926" s="328" t="s">
        <v>2178</v>
      </c>
      <c r="B926" t="s">
        <v>2179</v>
      </c>
      <c r="C926" s="329"/>
      <c r="D926" s="328" t="str">
        <f t="shared" si="18"/>
        <v>NACE Q - 85.6 Educational support activities</v>
      </c>
    </row>
    <row r="927" spans="1:4" x14ac:dyDescent="0.35">
      <c r="A927" s="329" t="s">
        <v>2180</v>
      </c>
      <c r="B927" t="s">
        <v>2181</v>
      </c>
      <c r="C927" s="329"/>
      <c r="D927" s="329" t="str">
        <f t="shared" si="18"/>
        <v>NACE Q - 85.61 Intermediation service activities for courses and tutors</v>
      </c>
    </row>
    <row r="928" spans="1:4" x14ac:dyDescent="0.35">
      <c r="A928" s="329" t="s">
        <v>2182</v>
      </c>
      <c r="B928" t="s">
        <v>2183</v>
      </c>
      <c r="C928" s="329"/>
      <c r="D928" s="329" t="str">
        <f t="shared" si="18"/>
        <v>NACE Q - 85.69 Educational support activities n.e.c.</v>
      </c>
    </row>
    <row r="929" spans="1:4" x14ac:dyDescent="0.35">
      <c r="A929" s="326" t="s">
        <v>2184</v>
      </c>
      <c r="B929" t="s">
        <v>2185</v>
      </c>
      <c r="C929" s="329"/>
      <c r="D929" s="326" t="str">
        <f t="shared" si="18"/>
        <v>NACE R - HUMAN HEALTH AND SOCIAL WORK ACTIVITIES</v>
      </c>
    </row>
    <row r="930" spans="1:4" x14ac:dyDescent="0.35">
      <c r="A930" s="325" t="s">
        <v>2186</v>
      </c>
      <c r="B930" t="s">
        <v>2187</v>
      </c>
      <c r="C930" s="329"/>
      <c r="D930" s="325" t="str">
        <f t="shared" si="18"/>
        <v>NACE R - 86 Human health activities</v>
      </c>
    </row>
    <row r="931" spans="1:4" x14ac:dyDescent="0.35">
      <c r="A931" s="328" t="s">
        <v>2188</v>
      </c>
      <c r="B931" t="s">
        <v>2189</v>
      </c>
      <c r="C931" s="329"/>
      <c r="D931" s="328" t="str">
        <f t="shared" si="18"/>
        <v>NACE R - 86.1 Hospital activities</v>
      </c>
    </row>
    <row r="932" spans="1:4" x14ac:dyDescent="0.35">
      <c r="A932" s="329" t="s">
        <v>2190</v>
      </c>
      <c r="B932" t="s">
        <v>2191</v>
      </c>
      <c r="C932" s="329"/>
      <c r="D932" s="329" t="str">
        <f t="shared" si="18"/>
        <v>NACE R - 86.10 Hospital activities</v>
      </c>
    </row>
    <row r="933" spans="1:4" x14ac:dyDescent="0.35">
      <c r="A933" s="328" t="s">
        <v>2192</v>
      </c>
      <c r="B933" t="s">
        <v>2193</v>
      </c>
      <c r="C933" s="329"/>
      <c r="D933" s="328" t="str">
        <f t="shared" si="18"/>
        <v>NACE R - 86.2 Medical and dental practice activities</v>
      </c>
    </row>
    <row r="934" spans="1:4" x14ac:dyDescent="0.35">
      <c r="A934" s="329" t="s">
        <v>2194</v>
      </c>
      <c r="B934" t="s">
        <v>2195</v>
      </c>
      <c r="C934" s="329"/>
      <c r="D934" s="329" t="str">
        <f t="shared" si="18"/>
        <v>NACE R - 86.21 General medical practice activities</v>
      </c>
    </row>
    <row r="935" spans="1:4" x14ac:dyDescent="0.35">
      <c r="A935" s="329" t="s">
        <v>2196</v>
      </c>
      <c r="B935" t="s">
        <v>2197</v>
      </c>
      <c r="C935" s="329"/>
      <c r="D935" s="329" t="str">
        <f t="shared" si="18"/>
        <v>NACE R - 86.22 Medical specialists activities</v>
      </c>
    </row>
    <row r="936" spans="1:4" x14ac:dyDescent="0.35">
      <c r="A936" s="329" t="s">
        <v>2198</v>
      </c>
      <c r="B936" t="s">
        <v>2199</v>
      </c>
      <c r="C936" s="329"/>
      <c r="D936" s="329" t="str">
        <f t="shared" si="18"/>
        <v>NACE R - 86.23 Dental practice care activities</v>
      </c>
    </row>
    <row r="937" spans="1:4" x14ac:dyDescent="0.35">
      <c r="A937" s="328" t="s">
        <v>2200</v>
      </c>
      <c r="B937" t="s">
        <v>2201</v>
      </c>
      <c r="C937" s="329"/>
      <c r="D937" s="328" t="str">
        <f t="shared" si="18"/>
        <v>NACE R - 86.9 Other human health activities</v>
      </c>
    </row>
    <row r="938" spans="1:4" x14ac:dyDescent="0.35">
      <c r="A938" s="329" t="s">
        <v>2202</v>
      </c>
      <c r="B938" t="s">
        <v>2203</v>
      </c>
      <c r="C938" s="329"/>
      <c r="D938" s="329" t="str">
        <f t="shared" si="18"/>
        <v>NACE R - 86.91 Diagnostic imaging services and medical laboratory activities</v>
      </c>
    </row>
    <row r="939" spans="1:4" x14ac:dyDescent="0.35">
      <c r="A939" s="329" t="s">
        <v>2204</v>
      </c>
      <c r="B939" t="s">
        <v>2205</v>
      </c>
      <c r="C939" s="329"/>
      <c r="D939" s="329" t="str">
        <f t="shared" si="18"/>
        <v>NACE R - 86.92 Patient transportation by ambulance</v>
      </c>
    </row>
    <row r="940" spans="1:4" x14ac:dyDescent="0.35">
      <c r="A940" s="329" t="s">
        <v>2206</v>
      </c>
      <c r="B940" t="s">
        <v>2207</v>
      </c>
      <c r="C940" s="329"/>
      <c r="D940" s="329" t="str">
        <f t="shared" si="18"/>
        <v>NACE R - 86.93 Activities of psychologists and psychotherapists, except medical doctors</v>
      </c>
    </row>
    <row r="941" spans="1:4" x14ac:dyDescent="0.35">
      <c r="A941" s="329" t="s">
        <v>2208</v>
      </c>
      <c r="B941" t="s">
        <v>2209</v>
      </c>
      <c r="C941" s="329"/>
      <c r="D941" s="329" t="str">
        <f t="shared" si="18"/>
        <v>NACE R - 86.94 Nursing and midwifery activities</v>
      </c>
    </row>
    <row r="942" spans="1:4" x14ac:dyDescent="0.35">
      <c r="A942" s="329" t="s">
        <v>2210</v>
      </c>
      <c r="B942" t="s">
        <v>2211</v>
      </c>
      <c r="C942" s="329"/>
      <c r="D942" s="329" t="str">
        <f t="shared" si="18"/>
        <v>NACE R - 86.95 Physiotherapy activities</v>
      </c>
    </row>
    <row r="943" spans="1:4" x14ac:dyDescent="0.35">
      <c r="A943" s="329" t="s">
        <v>2212</v>
      </c>
      <c r="B943" t="s">
        <v>2213</v>
      </c>
      <c r="C943" s="329"/>
      <c r="D943" s="329" t="str">
        <f t="shared" si="18"/>
        <v>NACE R - 86.96 Traditional, complementary and alternative medicine activities</v>
      </c>
    </row>
    <row r="944" spans="1:4" x14ac:dyDescent="0.35">
      <c r="A944" s="329" t="s">
        <v>2214</v>
      </c>
      <c r="B944" t="s">
        <v>2215</v>
      </c>
      <c r="C944" s="329"/>
      <c r="D944" s="329" t="str">
        <f t="shared" si="18"/>
        <v>NACE R - 86.97 Intermediation service activities for medical, dental and other human health services</v>
      </c>
    </row>
    <row r="945" spans="1:4" x14ac:dyDescent="0.35">
      <c r="A945" s="329" t="s">
        <v>2216</v>
      </c>
      <c r="B945" t="s">
        <v>2217</v>
      </c>
      <c r="C945" s="329"/>
      <c r="D945" s="329" t="str">
        <f t="shared" si="18"/>
        <v>NACE R - 86.99 Other human health activities n.e.c.</v>
      </c>
    </row>
    <row r="946" spans="1:4" x14ac:dyDescent="0.35">
      <c r="A946" s="325" t="s">
        <v>2218</v>
      </c>
      <c r="B946" t="s">
        <v>2219</v>
      </c>
      <c r="C946" s="329"/>
      <c r="D946" s="325" t="str">
        <f t="shared" si="18"/>
        <v>NACE R - 87 Residential care activities</v>
      </c>
    </row>
    <row r="947" spans="1:4" x14ac:dyDescent="0.35">
      <c r="A947" s="328" t="s">
        <v>2220</v>
      </c>
      <c r="B947" t="s">
        <v>2221</v>
      </c>
      <c r="C947" s="329"/>
      <c r="D947" s="328" t="str">
        <f t="shared" si="18"/>
        <v>NACE R - 87.1 Residential nursing care activities</v>
      </c>
    </row>
    <row r="948" spans="1:4" x14ac:dyDescent="0.35">
      <c r="A948" s="329" t="s">
        <v>2222</v>
      </c>
      <c r="B948" t="s">
        <v>2223</v>
      </c>
      <c r="C948" s="329"/>
      <c r="D948" s="329" t="str">
        <f t="shared" si="18"/>
        <v>NACE R - 87.10 Residential nursing care activities</v>
      </c>
    </row>
    <row r="949" spans="1:4" x14ac:dyDescent="0.35">
      <c r="A949" s="328" t="s">
        <v>2224</v>
      </c>
      <c r="B949" t="s">
        <v>2225</v>
      </c>
      <c r="C949" s="329"/>
      <c r="D949" s="328" t="str">
        <f t="shared" si="18"/>
        <v>NACE R - 87.2 Residential care activities for persons living with or having a diagnosis of a mental illness or substance abuse</v>
      </c>
    </row>
    <row r="950" spans="1:4" x14ac:dyDescent="0.35">
      <c r="A950" s="329" t="s">
        <v>2226</v>
      </c>
      <c r="B950" t="s">
        <v>2227</v>
      </c>
      <c r="C950" s="329"/>
      <c r="D950" s="329" t="str">
        <f t="shared" si="18"/>
        <v>NACE R - 87.20 Residential care activities for persons living with or having a diagnosis of a mental illness or substance abuse</v>
      </c>
    </row>
    <row r="951" spans="1:4" x14ac:dyDescent="0.35">
      <c r="A951" s="328" t="s">
        <v>2228</v>
      </c>
      <c r="B951" t="s">
        <v>2229</v>
      </c>
      <c r="C951" s="329"/>
      <c r="D951" s="328" t="str">
        <f t="shared" si="18"/>
        <v>NACE R - 87.3 Residential care activities for older persons or persons with physical disabilities</v>
      </c>
    </row>
    <row r="952" spans="1:4" x14ac:dyDescent="0.35">
      <c r="A952" s="329" t="s">
        <v>2230</v>
      </c>
      <c r="B952" t="s">
        <v>2231</v>
      </c>
      <c r="C952" s="329"/>
      <c r="D952" s="329" t="str">
        <f t="shared" si="18"/>
        <v>NACE R - 87.30 Residential care activities for older persons or persons with physical disabilities</v>
      </c>
    </row>
    <row r="953" spans="1:4" x14ac:dyDescent="0.35">
      <c r="A953" s="328" t="s">
        <v>2232</v>
      </c>
      <c r="B953" t="s">
        <v>2233</v>
      </c>
      <c r="C953" s="329"/>
      <c r="D953" s="328" t="str">
        <f t="shared" si="18"/>
        <v>NACE R - 87.9 Other residential care activities</v>
      </c>
    </row>
    <row r="954" spans="1:4" x14ac:dyDescent="0.35">
      <c r="A954" s="329" t="s">
        <v>2234</v>
      </c>
      <c r="B954" t="s">
        <v>2235</v>
      </c>
      <c r="C954" s="329"/>
      <c r="D954" s="329" t="str">
        <f t="shared" si="18"/>
        <v>NACE R - 87.91 Intermediation service activities for residential care activities</v>
      </c>
    </row>
    <row r="955" spans="1:4" x14ac:dyDescent="0.35">
      <c r="A955" s="329" t="s">
        <v>2236</v>
      </c>
      <c r="B955" t="s">
        <v>2237</v>
      </c>
      <c r="C955" s="329"/>
      <c r="D955" s="329" t="str">
        <f t="shared" si="18"/>
        <v>NACE R - 87.99 Other residential care activities n.e.c.</v>
      </c>
    </row>
    <row r="956" spans="1:4" x14ac:dyDescent="0.35">
      <c r="A956" s="325" t="s">
        <v>2238</v>
      </c>
      <c r="B956" t="s">
        <v>2239</v>
      </c>
      <c r="C956" s="329"/>
      <c r="D956" s="325" t="str">
        <f t="shared" si="18"/>
        <v>NACE R - 88 Social work activities without accommodation</v>
      </c>
    </row>
    <row r="957" spans="1:4" x14ac:dyDescent="0.35">
      <c r="A957" s="328" t="s">
        <v>2240</v>
      </c>
      <c r="B957" t="s">
        <v>2241</v>
      </c>
      <c r="C957" s="329"/>
      <c r="D957" s="328" t="str">
        <f t="shared" si="18"/>
        <v>NACE R - 88.1 Social work activities without accommodation for older persons or persons with disabilities</v>
      </c>
    </row>
    <row r="958" spans="1:4" x14ac:dyDescent="0.35">
      <c r="A958" s="329" t="s">
        <v>2242</v>
      </c>
      <c r="B958" t="s">
        <v>2243</v>
      </c>
      <c r="C958" s="329"/>
      <c r="D958" s="329" t="str">
        <f t="shared" si="18"/>
        <v>NACE R - 88.10 Social work activities without accommodation for older persons or persons with disabilities</v>
      </c>
    </row>
    <row r="959" spans="1:4" x14ac:dyDescent="0.35">
      <c r="A959" s="328" t="s">
        <v>2244</v>
      </c>
      <c r="B959" t="s">
        <v>2245</v>
      </c>
      <c r="C959" s="329"/>
      <c r="D959" s="328" t="str">
        <f t="shared" si="18"/>
        <v>NACE R - 88.9 Other social work activities without accommodation</v>
      </c>
    </row>
    <row r="960" spans="1:4" x14ac:dyDescent="0.35">
      <c r="A960" s="329" t="s">
        <v>2246</v>
      </c>
      <c r="B960" t="s">
        <v>2247</v>
      </c>
      <c r="C960" s="329"/>
      <c r="D960" s="329" t="str">
        <f t="shared" si="18"/>
        <v>NACE R - 88.91 Child day-care activities</v>
      </c>
    </row>
    <row r="961" spans="1:4" x14ac:dyDescent="0.35">
      <c r="A961" s="329" t="s">
        <v>2248</v>
      </c>
      <c r="B961" t="s">
        <v>2249</v>
      </c>
      <c r="C961" s="329"/>
      <c r="D961" s="329" t="str">
        <f t="shared" si="18"/>
        <v>NACE R - 88.99 Other social work activities without accommodation n.e.c.</v>
      </c>
    </row>
    <row r="962" spans="1:4" x14ac:dyDescent="0.35">
      <c r="A962" s="326" t="s">
        <v>2250</v>
      </c>
      <c r="B962" t="s">
        <v>2251</v>
      </c>
      <c r="C962" s="329"/>
      <c r="D962" s="326" t="str">
        <f t="shared" ref="D962:D1025" si="19">_xlfn.CONCAT("NACE ", A962)</f>
        <v>NACE S - ARTS, SPORTS AND RECREATION</v>
      </c>
    </row>
    <row r="963" spans="1:4" x14ac:dyDescent="0.35">
      <c r="A963" s="325" t="s">
        <v>2252</v>
      </c>
      <c r="B963" t="s">
        <v>2253</v>
      </c>
      <c r="C963" s="329"/>
      <c r="D963" s="325" t="str">
        <f t="shared" si="19"/>
        <v>NACE S - 90 Arts creation and performing arts activities</v>
      </c>
    </row>
    <row r="964" spans="1:4" x14ac:dyDescent="0.35">
      <c r="A964" s="328" t="s">
        <v>2254</v>
      </c>
      <c r="B964" t="s">
        <v>2255</v>
      </c>
      <c r="C964" s="329"/>
      <c r="D964" s="328" t="str">
        <f t="shared" si="19"/>
        <v>NACE S - 90.1 Arts creation activities</v>
      </c>
    </row>
    <row r="965" spans="1:4" x14ac:dyDescent="0.35">
      <c r="A965" s="329" t="s">
        <v>2256</v>
      </c>
      <c r="B965" t="s">
        <v>2257</v>
      </c>
      <c r="C965" s="329"/>
      <c r="D965" s="329" t="str">
        <f t="shared" si="19"/>
        <v>NACE S - 90.11 Literary creation and musical composition activities</v>
      </c>
    </row>
    <row r="966" spans="1:4" x14ac:dyDescent="0.35">
      <c r="A966" s="329" t="s">
        <v>2258</v>
      </c>
      <c r="B966" t="s">
        <v>2259</v>
      </c>
      <c r="C966" s="329"/>
      <c r="D966" s="329" t="str">
        <f t="shared" si="19"/>
        <v>NACE S - 90.12 Visual arts creation activities</v>
      </c>
    </row>
    <row r="967" spans="1:4" x14ac:dyDescent="0.35">
      <c r="A967" s="329" t="s">
        <v>2260</v>
      </c>
      <c r="B967" t="s">
        <v>2261</v>
      </c>
      <c r="C967" s="329"/>
      <c r="D967" s="329" t="str">
        <f t="shared" si="19"/>
        <v>NACE S - 90.13 Other arts creation activities</v>
      </c>
    </row>
    <row r="968" spans="1:4" x14ac:dyDescent="0.35">
      <c r="A968" s="328" t="s">
        <v>2262</v>
      </c>
      <c r="B968" t="s">
        <v>2263</v>
      </c>
      <c r="C968" s="329"/>
      <c r="D968" s="328" t="str">
        <f t="shared" si="19"/>
        <v>NACE S - 90.2 Activities of performing arts</v>
      </c>
    </row>
    <row r="969" spans="1:4" x14ac:dyDescent="0.35">
      <c r="A969" s="329" t="s">
        <v>2264</v>
      </c>
      <c r="B969" t="s">
        <v>2265</v>
      </c>
      <c r="C969" s="329"/>
      <c r="D969" s="329" t="str">
        <f t="shared" si="19"/>
        <v>NACE S - 90.20 Activities of performing arts</v>
      </c>
    </row>
    <row r="970" spans="1:4" x14ac:dyDescent="0.35">
      <c r="A970" s="328" t="s">
        <v>2266</v>
      </c>
      <c r="B970" t="s">
        <v>2267</v>
      </c>
      <c r="C970" s="329"/>
      <c r="D970" s="328" t="str">
        <f t="shared" si="19"/>
        <v>NACE S - 90.3 Support activities to arts creation and performing arts</v>
      </c>
    </row>
    <row r="971" spans="1:4" x14ac:dyDescent="0.35">
      <c r="A971" s="329" t="s">
        <v>2268</v>
      </c>
      <c r="B971" t="s">
        <v>2269</v>
      </c>
      <c r="C971" s="329"/>
      <c r="D971" s="329" t="str">
        <f t="shared" si="19"/>
        <v>NACE S - 90.31 Operation of arts facilities and sites</v>
      </c>
    </row>
    <row r="972" spans="1:4" x14ac:dyDescent="0.35">
      <c r="A972" s="329" t="s">
        <v>2270</v>
      </c>
      <c r="B972" t="s">
        <v>2271</v>
      </c>
      <c r="C972" s="329"/>
      <c r="D972" s="329" t="str">
        <f t="shared" si="19"/>
        <v>NACE S - 90.39 Other support activities to arts and performing arts</v>
      </c>
    </row>
    <row r="973" spans="1:4" x14ac:dyDescent="0.35">
      <c r="A973" s="325" t="s">
        <v>2272</v>
      </c>
      <c r="B973" t="s">
        <v>2273</v>
      </c>
      <c r="C973" s="329"/>
      <c r="D973" s="325" t="str">
        <f t="shared" si="19"/>
        <v>NACE S - 91 Libraries, archives, museums and other cultural activities</v>
      </c>
    </row>
    <row r="974" spans="1:4" x14ac:dyDescent="0.35">
      <c r="A974" s="328" t="s">
        <v>2274</v>
      </c>
      <c r="B974" t="s">
        <v>2275</v>
      </c>
      <c r="C974" s="329"/>
      <c r="D974" s="328" t="str">
        <f t="shared" si="19"/>
        <v>NACE S - 91.1 Library and archive activities</v>
      </c>
    </row>
    <row r="975" spans="1:4" x14ac:dyDescent="0.35">
      <c r="A975" s="329" t="s">
        <v>2276</v>
      </c>
      <c r="B975" t="s">
        <v>2277</v>
      </c>
      <c r="C975" s="329"/>
      <c r="D975" s="329" t="str">
        <f t="shared" si="19"/>
        <v>NACE S - 91.11 Library activities</v>
      </c>
    </row>
    <row r="976" spans="1:4" x14ac:dyDescent="0.35">
      <c r="A976" s="329" t="s">
        <v>2278</v>
      </c>
      <c r="B976" t="s">
        <v>2279</v>
      </c>
      <c r="C976" s="329"/>
      <c r="D976" s="329" t="str">
        <f t="shared" si="19"/>
        <v>NACE S - 91.12 Archive activities</v>
      </c>
    </row>
    <row r="977" spans="1:4" x14ac:dyDescent="0.35">
      <c r="A977" s="328" t="s">
        <v>2280</v>
      </c>
      <c r="B977" t="s">
        <v>2281</v>
      </c>
      <c r="C977" s="329"/>
      <c r="D977" s="328" t="str">
        <f t="shared" si="19"/>
        <v>NACE S - 91.2 Museum, collection, historical site and monument activities</v>
      </c>
    </row>
    <row r="978" spans="1:4" x14ac:dyDescent="0.35">
      <c r="A978" s="329" t="s">
        <v>2282</v>
      </c>
      <c r="B978" t="s">
        <v>2283</v>
      </c>
      <c r="C978" s="329"/>
      <c r="D978" s="329" t="str">
        <f t="shared" si="19"/>
        <v>NACE S - 91.21 Museum and collection activities</v>
      </c>
    </row>
    <row r="979" spans="1:4" x14ac:dyDescent="0.35">
      <c r="A979" s="329" t="s">
        <v>2284</v>
      </c>
      <c r="B979" t="s">
        <v>2285</v>
      </c>
      <c r="C979" s="329"/>
      <c r="D979" s="329" t="str">
        <f t="shared" si="19"/>
        <v>NACE S - 91.22 Historical site and monument activities</v>
      </c>
    </row>
    <row r="980" spans="1:4" x14ac:dyDescent="0.35">
      <c r="A980" s="328" t="s">
        <v>2286</v>
      </c>
      <c r="B980" t="s">
        <v>2287</v>
      </c>
      <c r="C980" s="329"/>
      <c r="D980" s="328" t="str">
        <f t="shared" si="19"/>
        <v>NACE S - 91.3 Conservation, restoration and other support activities for cultural heritage</v>
      </c>
    </row>
    <row r="981" spans="1:4" x14ac:dyDescent="0.35">
      <c r="A981" s="329" t="s">
        <v>2288</v>
      </c>
      <c r="B981" t="s">
        <v>2289</v>
      </c>
      <c r="C981" s="329"/>
      <c r="D981" s="329" t="str">
        <f t="shared" si="19"/>
        <v>NACE S - 91.30 Conservation, restoration and other support activities for cultural heritage</v>
      </c>
    </row>
    <row r="982" spans="1:4" x14ac:dyDescent="0.35">
      <c r="A982" s="328" t="s">
        <v>2290</v>
      </c>
      <c r="B982" t="s">
        <v>2291</v>
      </c>
      <c r="C982" s="329"/>
      <c r="D982" s="328" t="str">
        <f t="shared" si="19"/>
        <v>NACE S - 91.4 Botanical and zoological garden and nature reserve activities</v>
      </c>
    </row>
    <row r="983" spans="1:4" x14ac:dyDescent="0.35">
      <c r="A983" s="329" t="s">
        <v>2292</v>
      </c>
      <c r="B983" t="s">
        <v>2293</v>
      </c>
      <c r="C983" s="329"/>
      <c r="D983" s="329" t="str">
        <f t="shared" si="19"/>
        <v>NACE S - 91.41 Botanical and zoological garden activities</v>
      </c>
    </row>
    <row r="984" spans="1:4" x14ac:dyDescent="0.35">
      <c r="A984" s="329" t="s">
        <v>2294</v>
      </c>
      <c r="B984" t="s">
        <v>2295</v>
      </c>
      <c r="C984" s="329"/>
      <c r="D984" s="329" t="str">
        <f t="shared" si="19"/>
        <v>NACE S - 91.42 Nature reserve activities</v>
      </c>
    </row>
    <row r="985" spans="1:4" x14ac:dyDescent="0.35">
      <c r="A985" s="325" t="s">
        <v>2296</v>
      </c>
      <c r="B985" t="s">
        <v>2297</v>
      </c>
      <c r="C985" s="329"/>
      <c r="D985" s="325" t="str">
        <f t="shared" si="19"/>
        <v>NACE S - 92 Gambling and betting activities</v>
      </c>
    </row>
    <row r="986" spans="1:4" x14ac:dyDescent="0.35">
      <c r="A986" s="328" t="s">
        <v>2298</v>
      </c>
      <c r="B986" t="s">
        <v>2299</v>
      </c>
      <c r="C986" s="329"/>
      <c r="D986" s="328" t="str">
        <f t="shared" si="19"/>
        <v>NACE S - 92.0 Gambling and betting activities</v>
      </c>
    </row>
    <row r="987" spans="1:4" x14ac:dyDescent="0.35">
      <c r="A987" s="329" t="s">
        <v>2300</v>
      </c>
      <c r="B987" t="s">
        <v>2301</v>
      </c>
      <c r="C987" s="329"/>
      <c r="D987" s="329" t="str">
        <f t="shared" si="19"/>
        <v>NACE S - 92.00 Gambling and betting activities</v>
      </c>
    </row>
    <row r="988" spans="1:4" x14ac:dyDescent="0.35">
      <c r="A988" s="325" t="s">
        <v>2302</v>
      </c>
      <c r="B988" t="s">
        <v>2303</v>
      </c>
      <c r="C988" s="329"/>
      <c r="D988" s="325" t="str">
        <f t="shared" si="19"/>
        <v>NACE S - 93 Sports activities and amusement and recreation activities</v>
      </c>
    </row>
    <row r="989" spans="1:4" x14ac:dyDescent="0.35">
      <c r="A989" s="328" t="s">
        <v>2304</v>
      </c>
      <c r="B989" t="s">
        <v>2305</v>
      </c>
      <c r="C989" s="329"/>
      <c r="D989" s="328" t="str">
        <f t="shared" si="19"/>
        <v>NACE S - 93.1 Sports activities</v>
      </c>
    </row>
    <row r="990" spans="1:4" x14ac:dyDescent="0.35">
      <c r="A990" s="329" t="s">
        <v>2306</v>
      </c>
      <c r="B990" t="s">
        <v>2307</v>
      </c>
      <c r="C990" s="329"/>
      <c r="D990" s="329" t="str">
        <f t="shared" si="19"/>
        <v>NACE S - 93.11 Operation of sports facilities</v>
      </c>
    </row>
    <row r="991" spans="1:4" x14ac:dyDescent="0.35">
      <c r="A991" s="329" t="s">
        <v>2308</v>
      </c>
      <c r="B991" t="s">
        <v>2309</v>
      </c>
      <c r="C991" s="329"/>
      <c r="D991" s="329" t="str">
        <f t="shared" si="19"/>
        <v>NACE S - 93.12 Activities of sports clubs</v>
      </c>
    </row>
    <row r="992" spans="1:4" x14ac:dyDescent="0.35">
      <c r="A992" s="329" t="s">
        <v>2310</v>
      </c>
      <c r="B992" t="s">
        <v>2311</v>
      </c>
      <c r="C992" s="329"/>
      <c r="D992" s="329" t="str">
        <f t="shared" si="19"/>
        <v>NACE S - 93.13 Activities of fitness centres</v>
      </c>
    </row>
    <row r="993" spans="1:4" x14ac:dyDescent="0.35">
      <c r="A993" s="329" t="s">
        <v>2312</v>
      </c>
      <c r="B993" t="s">
        <v>2313</v>
      </c>
      <c r="C993" s="329"/>
      <c r="D993" s="329" t="str">
        <f t="shared" si="19"/>
        <v>NACE S - 93.19 Sports activities n.e.c.</v>
      </c>
    </row>
    <row r="994" spans="1:4" x14ac:dyDescent="0.35">
      <c r="A994" s="328" t="s">
        <v>2314</v>
      </c>
      <c r="B994" t="s">
        <v>2315</v>
      </c>
      <c r="C994" s="329"/>
      <c r="D994" s="328" t="str">
        <f t="shared" si="19"/>
        <v>NACE S - 93.2 Amusement and recreation activities</v>
      </c>
    </row>
    <row r="995" spans="1:4" x14ac:dyDescent="0.35">
      <c r="A995" s="329" t="s">
        <v>2316</v>
      </c>
      <c r="B995" t="s">
        <v>2317</v>
      </c>
      <c r="C995" s="329"/>
      <c r="D995" s="329" t="str">
        <f t="shared" si="19"/>
        <v>NACE S - 93.21 Activities of amusement parks and theme parks</v>
      </c>
    </row>
    <row r="996" spans="1:4" x14ac:dyDescent="0.35">
      <c r="A996" s="329" t="s">
        <v>2318</v>
      </c>
      <c r="B996" t="s">
        <v>2319</v>
      </c>
      <c r="C996" s="329"/>
      <c r="D996" s="329" t="str">
        <f t="shared" si="19"/>
        <v>NACE S - 93.29 Amusement and recreation activities n.e.c.</v>
      </c>
    </row>
    <row r="997" spans="1:4" x14ac:dyDescent="0.35">
      <c r="A997" s="326" t="s">
        <v>2320</v>
      </c>
      <c r="B997" t="s">
        <v>2321</v>
      </c>
      <c r="C997" s="329"/>
      <c r="D997" s="326" t="str">
        <f t="shared" si="19"/>
        <v>NACE T - OTHER SERVICE ACTIVITIES</v>
      </c>
    </row>
    <row r="998" spans="1:4" x14ac:dyDescent="0.35">
      <c r="A998" s="325" t="s">
        <v>2322</v>
      </c>
      <c r="B998" t="s">
        <v>2323</v>
      </c>
      <c r="C998" s="329"/>
      <c r="D998" s="325" t="str">
        <f t="shared" si="19"/>
        <v>NACE T - 94 Activities of membership organisations</v>
      </c>
    </row>
    <row r="999" spans="1:4" x14ac:dyDescent="0.35">
      <c r="A999" s="328" t="s">
        <v>2324</v>
      </c>
      <c r="B999" t="s">
        <v>2325</v>
      </c>
      <c r="C999" s="329"/>
      <c r="D999" s="328" t="str">
        <f t="shared" si="19"/>
        <v>NACE T - 94.1 Activities of business, employers and professional membership organisations</v>
      </c>
    </row>
    <row r="1000" spans="1:4" x14ac:dyDescent="0.35">
      <c r="A1000" s="329" t="s">
        <v>2326</v>
      </c>
      <c r="B1000" t="s">
        <v>2327</v>
      </c>
      <c r="C1000" s="329"/>
      <c r="D1000" s="329" t="str">
        <f t="shared" si="19"/>
        <v>NACE T - 94.11 Activities of business and employers membership organisations</v>
      </c>
    </row>
    <row r="1001" spans="1:4" x14ac:dyDescent="0.35">
      <c r="A1001" s="329" t="s">
        <v>2328</v>
      </c>
      <c r="B1001" t="s">
        <v>2329</v>
      </c>
      <c r="C1001" s="329"/>
      <c r="D1001" s="329" t="str">
        <f t="shared" si="19"/>
        <v>NACE T - 94.12 Activities of professional membership organisations</v>
      </c>
    </row>
    <row r="1002" spans="1:4" x14ac:dyDescent="0.35">
      <c r="A1002" s="328" t="s">
        <v>2330</v>
      </c>
      <c r="B1002" t="s">
        <v>2331</v>
      </c>
      <c r="C1002" s="329"/>
      <c r="D1002" s="328" t="str">
        <f t="shared" si="19"/>
        <v>NACE T - 94.2 Activities of trade unions</v>
      </c>
    </row>
    <row r="1003" spans="1:4" x14ac:dyDescent="0.35">
      <c r="A1003" s="329" t="s">
        <v>2332</v>
      </c>
      <c r="B1003" t="s">
        <v>2333</v>
      </c>
      <c r="C1003" s="329"/>
      <c r="D1003" s="329" t="str">
        <f t="shared" si="19"/>
        <v>NACE T - 94.20 Activities of trade unions</v>
      </c>
    </row>
    <row r="1004" spans="1:4" x14ac:dyDescent="0.35">
      <c r="A1004" s="328" t="s">
        <v>2334</v>
      </c>
      <c r="B1004" t="s">
        <v>2335</v>
      </c>
      <c r="C1004" s="329"/>
      <c r="D1004" s="328" t="str">
        <f t="shared" si="19"/>
        <v>NACE T - 94.9 Activities of other membership organisations</v>
      </c>
    </row>
    <row r="1005" spans="1:4" x14ac:dyDescent="0.35">
      <c r="A1005" s="329" t="s">
        <v>2336</v>
      </c>
      <c r="B1005" t="s">
        <v>2337</v>
      </c>
      <c r="C1005" s="329"/>
      <c r="D1005" s="329" t="str">
        <f t="shared" si="19"/>
        <v>NACE T - 94.91 Activities of religious organisations</v>
      </c>
    </row>
    <row r="1006" spans="1:4" x14ac:dyDescent="0.35">
      <c r="A1006" s="329" t="s">
        <v>2338</v>
      </c>
      <c r="B1006" t="s">
        <v>2339</v>
      </c>
      <c r="C1006" s="329"/>
      <c r="D1006" s="329" t="str">
        <f t="shared" si="19"/>
        <v>NACE T - 94.92 Activities of political organisations</v>
      </c>
    </row>
    <row r="1007" spans="1:4" x14ac:dyDescent="0.35">
      <c r="A1007" s="329" t="s">
        <v>2340</v>
      </c>
      <c r="B1007" t="s">
        <v>2341</v>
      </c>
      <c r="C1007" s="329"/>
      <c r="D1007" s="329" t="str">
        <f t="shared" si="19"/>
        <v>NACE T - 94.99 Activities of other membership organisations n.e.c.</v>
      </c>
    </row>
    <row r="1008" spans="1:4" x14ac:dyDescent="0.35">
      <c r="A1008" s="325" t="s">
        <v>2342</v>
      </c>
      <c r="B1008" t="s">
        <v>2343</v>
      </c>
      <c r="C1008" s="329"/>
      <c r="D1008" s="325" t="str">
        <f t="shared" si="19"/>
        <v>NACE T - 95 Repair and maintenance of computers, personal and household goods, and motor vehicles and motorcycles</v>
      </c>
    </row>
    <row r="1009" spans="1:4" x14ac:dyDescent="0.35">
      <c r="A1009" s="328" t="s">
        <v>2344</v>
      </c>
      <c r="B1009" t="s">
        <v>2345</v>
      </c>
      <c r="C1009" s="329"/>
      <c r="D1009" s="328" t="str">
        <f t="shared" si="19"/>
        <v>NACE T - 95.1 Repair and maintenance of computers and communication equipment</v>
      </c>
    </row>
    <row r="1010" spans="1:4" x14ac:dyDescent="0.35">
      <c r="A1010" s="329" t="s">
        <v>2346</v>
      </c>
      <c r="B1010" t="s">
        <v>2347</v>
      </c>
      <c r="C1010" s="329"/>
      <c r="D1010" s="329" t="str">
        <f t="shared" si="19"/>
        <v>NACE T - 95.10 Repair and maintenance of computers and communication equipment</v>
      </c>
    </row>
    <row r="1011" spans="1:4" x14ac:dyDescent="0.35">
      <c r="A1011" s="328" t="s">
        <v>2348</v>
      </c>
      <c r="B1011" t="s">
        <v>2349</v>
      </c>
      <c r="C1011" s="329"/>
      <c r="D1011" s="328" t="str">
        <f t="shared" si="19"/>
        <v>NACE T - 95.2 Repair and maintenance of personal and household goods</v>
      </c>
    </row>
    <row r="1012" spans="1:4" x14ac:dyDescent="0.35">
      <c r="A1012" s="329" t="s">
        <v>2350</v>
      </c>
      <c r="B1012" t="s">
        <v>2351</v>
      </c>
      <c r="C1012" s="329"/>
      <c r="D1012" s="329" t="str">
        <f t="shared" si="19"/>
        <v>NACE T - 95.21 Repair and maintenance of consumer electronics</v>
      </c>
    </row>
    <row r="1013" spans="1:4" x14ac:dyDescent="0.35">
      <c r="A1013" s="329" t="s">
        <v>2352</v>
      </c>
      <c r="B1013" t="s">
        <v>2353</v>
      </c>
      <c r="C1013" s="329"/>
      <c r="D1013" s="329" t="str">
        <f t="shared" si="19"/>
        <v>NACE T - 95.22 Repair and maintenance of household appliances and home and garden equipment</v>
      </c>
    </row>
    <row r="1014" spans="1:4" x14ac:dyDescent="0.35">
      <c r="A1014" s="329" t="s">
        <v>2354</v>
      </c>
      <c r="B1014" t="s">
        <v>2355</v>
      </c>
      <c r="C1014" s="329"/>
      <c r="D1014" s="329" t="str">
        <f t="shared" si="19"/>
        <v>NACE T - 95.23 Repair and maintenance of footwear and leather goods</v>
      </c>
    </row>
    <row r="1015" spans="1:4" x14ac:dyDescent="0.35">
      <c r="A1015" s="329" t="s">
        <v>2356</v>
      </c>
      <c r="B1015" t="s">
        <v>2357</v>
      </c>
      <c r="C1015" s="329"/>
      <c r="D1015" s="329" t="str">
        <f t="shared" si="19"/>
        <v>NACE T - 95.24 Repair and maintenance of furniture and home furnishings</v>
      </c>
    </row>
    <row r="1016" spans="1:4" x14ac:dyDescent="0.35">
      <c r="A1016" s="329" t="s">
        <v>2358</v>
      </c>
      <c r="B1016" t="s">
        <v>2359</v>
      </c>
      <c r="C1016" s="329"/>
      <c r="D1016" s="329" t="str">
        <f t="shared" si="19"/>
        <v>NACE T - 95.25 Repair and maintenance of watches, clocks and jewellery</v>
      </c>
    </row>
    <row r="1017" spans="1:4" x14ac:dyDescent="0.35">
      <c r="A1017" s="329" t="s">
        <v>2360</v>
      </c>
      <c r="B1017" t="s">
        <v>2361</v>
      </c>
      <c r="C1017" s="329"/>
      <c r="D1017" s="329" t="str">
        <f t="shared" si="19"/>
        <v>NACE T - 95.29 Repair and maintenance of personal and household goods n.e.c.</v>
      </c>
    </row>
    <row r="1018" spans="1:4" x14ac:dyDescent="0.35">
      <c r="A1018" s="328" t="s">
        <v>2362</v>
      </c>
      <c r="B1018" t="s">
        <v>2363</v>
      </c>
      <c r="C1018" s="329"/>
      <c r="D1018" s="328" t="str">
        <f t="shared" si="19"/>
        <v>NACE T - 95.3 Repair and maintenance of motor vehicles and motorcycles</v>
      </c>
    </row>
    <row r="1019" spans="1:4" x14ac:dyDescent="0.35">
      <c r="A1019" s="329" t="s">
        <v>2364</v>
      </c>
      <c r="B1019" t="s">
        <v>2365</v>
      </c>
      <c r="C1019" s="329"/>
      <c r="D1019" s="329" t="str">
        <f t="shared" si="19"/>
        <v>NACE T - 95.31 Repair and maintenance of motor vehicles</v>
      </c>
    </row>
    <row r="1020" spans="1:4" x14ac:dyDescent="0.35">
      <c r="A1020" s="329" t="s">
        <v>2366</v>
      </c>
      <c r="B1020" t="s">
        <v>2367</v>
      </c>
      <c r="C1020" s="329"/>
      <c r="D1020" s="329" t="str">
        <f t="shared" si="19"/>
        <v>NACE T - 95.32 Repair and maintenance of motorcycles</v>
      </c>
    </row>
    <row r="1021" spans="1:4" x14ac:dyDescent="0.35">
      <c r="A1021" s="328" t="s">
        <v>2368</v>
      </c>
      <c r="B1021" t="s">
        <v>2369</v>
      </c>
      <c r="C1021" s="329"/>
      <c r="D1021" s="328" t="str">
        <f t="shared" si="19"/>
        <v>NACE T - 95.4 Intermediation service activities for repair and maintenance of computers, personal and household goods, and motor vehicles and motorcycles</v>
      </c>
    </row>
    <row r="1022" spans="1:4" x14ac:dyDescent="0.35">
      <c r="A1022" s="329" t="s">
        <v>2370</v>
      </c>
      <c r="B1022" t="s">
        <v>2371</v>
      </c>
      <c r="C1022" s="329"/>
      <c r="D1022" s="329" t="str">
        <f t="shared" si="19"/>
        <v>NACE T - 95.40 Intermediation service activities for repair and maintenance of computers, personal and household goods, and motor vehicles and motorcycles</v>
      </c>
    </row>
    <row r="1023" spans="1:4" x14ac:dyDescent="0.35">
      <c r="A1023" s="325" t="s">
        <v>2372</v>
      </c>
      <c r="B1023" t="s">
        <v>2373</v>
      </c>
      <c r="C1023" s="329"/>
      <c r="D1023" s="325" t="str">
        <f t="shared" si="19"/>
        <v>NACE T - 96 Personal service activities</v>
      </c>
    </row>
    <row r="1024" spans="1:4" x14ac:dyDescent="0.35">
      <c r="A1024" s="328" t="s">
        <v>2374</v>
      </c>
      <c r="B1024" t="s">
        <v>2375</v>
      </c>
      <c r="C1024" s="329"/>
      <c r="D1024" s="328" t="str">
        <f t="shared" si="19"/>
        <v>NACE T - 96.1 Washing and cleaning of textile and fur products</v>
      </c>
    </row>
    <row r="1025" spans="1:4" x14ac:dyDescent="0.35">
      <c r="A1025" s="329" t="s">
        <v>2376</v>
      </c>
      <c r="B1025" t="s">
        <v>2377</v>
      </c>
      <c r="C1025" s="329"/>
      <c r="D1025" s="329" t="str">
        <f t="shared" si="19"/>
        <v>NACE T - 96.10 Washing and cleaning of textile and fur products</v>
      </c>
    </row>
    <row r="1026" spans="1:4" x14ac:dyDescent="0.35">
      <c r="A1026" s="328" t="s">
        <v>2378</v>
      </c>
      <c r="B1026" t="s">
        <v>2379</v>
      </c>
      <c r="C1026" s="329"/>
      <c r="D1026" s="328" t="str">
        <f t="shared" ref="D1026:D1049" si="20">_xlfn.CONCAT("NACE ", A1026)</f>
        <v>NACE T - 96.2 Hairdressing, beauty treatment, day spa and similar activities</v>
      </c>
    </row>
    <row r="1027" spans="1:4" x14ac:dyDescent="0.35">
      <c r="A1027" s="329" t="s">
        <v>2380</v>
      </c>
      <c r="B1027" t="s">
        <v>2381</v>
      </c>
      <c r="C1027" s="329"/>
      <c r="D1027" s="329" t="str">
        <f t="shared" si="20"/>
        <v>NACE T - 96.21 Hairdressing and barber activities</v>
      </c>
    </row>
    <row r="1028" spans="1:4" x14ac:dyDescent="0.35">
      <c r="A1028" s="329" t="s">
        <v>2382</v>
      </c>
      <c r="B1028" t="s">
        <v>2383</v>
      </c>
      <c r="C1028" s="329"/>
      <c r="D1028" s="329" t="str">
        <f t="shared" si="20"/>
        <v>NACE T - 96.22 Beauty care and other beauty treatment activities</v>
      </c>
    </row>
    <row r="1029" spans="1:4" x14ac:dyDescent="0.35">
      <c r="A1029" s="329" t="s">
        <v>2384</v>
      </c>
      <c r="B1029" t="s">
        <v>2385</v>
      </c>
      <c r="C1029" s="329"/>
      <c r="D1029" s="329" t="str">
        <f t="shared" si="20"/>
        <v>NACE T - 96.23 Day spa, sauna and steam bath activities</v>
      </c>
    </row>
    <row r="1030" spans="1:4" x14ac:dyDescent="0.35">
      <c r="A1030" s="328" t="s">
        <v>2386</v>
      </c>
      <c r="B1030" t="s">
        <v>2387</v>
      </c>
      <c r="C1030" s="329"/>
      <c r="D1030" s="328" t="str">
        <f t="shared" si="20"/>
        <v>NACE T - 96.3 Funeral and related activities</v>
      </c>
    </row>
    <row r="1031" spans="1:4" x14ac:dyDescent="0.35">
      <c r="A1031" s="329" t="s">
        <v>2388</v>
      </c>
      <c r="B1031" t="s">
        <v>2389</v>
      </c>
      <c r="C1031" s="329"/>
      <c r="D1031" s="329" t="str">
        <f t="shared" si="20"/>
        <v>NACE T - 96.30 Funeral and related activities</v>
      </c>
    </row>
    <row r="1032" spans="1:4" x14ac:dyDescent="0.35">
      <c r="A1032" s="328" t="s">
        <v>2390</v>
      </c>
      <c r="B1032" t="s">
        <v>2391</v>
      </c>
      <c r="C1032" s="329"/>
      <c r="D1032" s="328" t="str">
        <f t="shared" si="20"/>
        <v>NACE T - 96.4 Intermediation service activities for personal services</v>
      </c>
    </row>
    <row r="1033" spans="1:4" x14ac:dyDescent="0.35">
      <c r="A1033" s="329" t="s">
        <v>2392</v>
      </c>
      <c r="B1033" t="s">
        <v>2393</v>
      </c>
      <c r="C1033" s="329"/>
      <c r="D1033" s="329" t="str">
        <f t="shared" si="20"/>
        <v>NACE T - 96.40 Intermediation service activities for personal services</v>
      </c>
    </row>
    <row r="1034" spans="1:4" x14ac:dyDescent="0.35">
      <c r="A1034" s="328" t="s">
        <v>2394</v>
      </c>
      <c r="B1034" t="s">
        <v>2395</v>
      </c>
      <c r="C1034" s="329"/>
      <c r="D1034" s="328" t="str">
        <f t="shared" si="20"/>
        <v>NACE T - 96.9 Other personal service activities</v>
      </c>
    </row>
    <row r="1035" spans="1:4" x14ac:dyDescent="0.35">
      <c r="A1035" s="329" t="s">
        <v>2396</v>
      </c>
      <c r="B1035" t="s">
        <v>2397</v>
      </c>
      <c r="C1035" s="329"/>
      <c r="D1035" s="329" t="str">
        <f t="shared" si="20"/>
        <v>NACE T - 96.91 Provision of domestic personal service activities</v>
      </c>
    </row>
    <row r="1036" spans="1:4" x14ac:dyDescent="0.35">
      <c r="A1036" s="329" t="s">
        <v>2398</v>
      </c>
      <c r="B1036" t="s">
        <v>2399</v>
      </c>
      <c r="C1036" s="329"/>
      <c r="D1036" s="329" t="str">
        <f t="shared" si="20"/>
        <v>NACE T - 96.99 Other personal service activities n.e.c.</v>
      </c>
    </row>
    <row r="1037" spans="1:4" x14ac:dyDescent="0.35">
      <c r="A1037" s="326" t="s">
        <v>2400</v>
      </c>
      <c r="B1037" t="s">
        <v>2401</v>
      </c>
      <c r="C1037" s="329"/>
      <c r="D1037" s="326" t="str">
        <f t="shared" si="20"/>
        <v>NACE U - ACTIVITIES OF HOUSEHOLDS AS EMPLOYERS AND UNDIFFERENTIATED GOODS – AND SERVICE-PRODUCING ACTIVITIES OF HOUSEHOLDS FOR OWN USE</v>
      </c>
    </row>
    <row r="1038" spans="1:4" x14ac:dyDescent="0.35">
      <c r="A1038" s="325" t="s">
        <v>2402</v>
      </c>
      <c r="B1038" t="s">
        <v>2403</v>
      </c>
      <c r="C1038" s="329"/>
      <c r="D1038" s="325" t="str">
        <f t="shared" si="20"/>
        <v>NACE U - 97 Activities of households as employers of domestic personnel</v>
      </c>
    </row>
    <row r="1039" spans="1:4" x14ac:dyDescent="0.35">
      <c r="A1039" s="328" t="s">
        <v>2404</v>
      </c>
      <c r="B1039" t="s">
        <v>2405</v>
      </c>
      <c r="C1039" s="329"/>
      <c r="D1039" s="328" t="str">
        <f t="shared" si="20"/>
        <v>NACE U - 97.0 Activities of households as employers of domestic personnel</v>
      </c>
    </row>
    <row r="1040" spans="1:4" x14ac:dyDescent="0.35">
      <c r="A1040" s="329" t="s">
        <v>2406</v>
      </c>
      <c r="B1040" t="s">
        <v>2407</v>
      </c>
      <c r="C1040" s="329"/>
      <c r="D1040" s="329" t="str">
        <f t="shared" si="20"/>
        <v>NACE U - 97.00 Activities of households as employers of domestic personnel</v>
      </c>
    </row>
    <row r="1041" spans="1:4" x14ac:dyDescent="0.35">
      <c r="A1041" s="325" t="s">
        <v>2408</v>
      </c>
      <c r="B1041" t="s">
        <v>2409</v>
      </c>
      <c r="C1041" s="329"/>
      <c r="D1041" s="325" t="str">
        <f t="shared" si="20"/>
        <v>NACE U - 98 Undifferentiated goods- and service-producing activities of private households for own use</v>
      </c>
    </row>
    <row r="1042" spans="1:4" x14ac:dyDescent="0.35">
      <c r="A1042" s="328" t="s">
        <v>2410</v>
      </c>
      <c r="B1042" t="s">
        <v>2411</v>
      </c>
      <c r="C1042" s="329"/>
      <c r="D1042" s="328" t="str">
        <f t="shared" si="20"/>
        <v>NACE U - 98.1 Undifferentiated goods-producing activities of private households for own use</v>
      </c>
    </row>
    <row r="1043" spans="1:4" x14ac:dyDescent="0.35">
      <c r="A1043" s="329" t="s">
        <v>2412</v>
      </c>
      <c r="B1043" t="s">
        <v>2413</v>
      </c>
      <c r="C1043" s="329"/>
      <c r="D1043" s="329" t="str">
        <f t="shared" si="20"/>
        <v>NACE U - 98.10 Undifferentiated goods-producing activities of private households for own use</v>
      </c>
    </row>
    <row r="1044" spans="1:4" x14ac:dyDescent="0.35">
      <c r="A1044" s="328" t="s">
        <v>2414</v>
      </c>
      <c r="B1044" t="s">
        <v>2415</v>
      </c>
      <c r="C1044" s="329"/>
      <c r="D1044" s="328" t="str">
        <f t="shared" si="20"/>
        <v>NACE U - 98.2 Undifferentiated service-producing activities of private households for own use</v>
      </c>
    </row>
    <row r="1045" spans="1:4" x14ac:dyDescent="0.35">
      <c r="A1045" s="329" t="s">
        <v>2416</v>
      </c>
      <c r="B1045" t="s">
        <v>2417</v>
      </c>
      <c r="C1045" s="329"/>
      <c r="D1045" s="329" t="str">
        <f t="shared" si="20"/>
        <v>NACE U - 98.20 Undifferentiated service-producing activities of private households for own use</v>
      </c>
    </row>
    <row r="1046" spans="1:4" x14ac:dyDescent="0.35">
      <c r="A1046" s="326" t="s">
        <v>2418</v>
      </c>
      <c r="B1046" t="s">
        <v>2419</v>
      </c>
      <c r="C1046" s="329"/>
      <c r="D1046" s="326" t="str">
        <f t="shared" si="20"/>
        <v>NACE V - ACTIVITIES OF EXTRATERRITORIAL ORGANISATIONS AND BODIES</v>
      </c>
    </row>
    <row r="1047" spans="1:4" x14ac:dyDescent="0.35">
      <c r="A1047" s="325" t="s">
        <v>2420</v>
      </c>
      <c r="B1047" t="s">
        <v>2421</v>
      </c>
      <c r="C1047" s="329"/>
      <c r="D1047" s="325" t="str">
        <f t="shared" si="20"/>
        <v>NACE V - 99 Activities of extraterritorial organisations and bodies</v>
      </c>
    </row>
    <row r="1048" spans="1:4" x14ac:dyDescent="0.35">
      <c r="A1048" s="328" t="s">
        <v>2422</v>
      </c>
      <c r="B1048" t="s">
        <v>2423</v>
      </c>
      <c r="C1048" s="329"/>
      <c r="D1048" s="328" t="str">
        <f t="shared" si="20"/>
        <v>NACE V - 99.0 Activities of extraterritorial organisations and bodies</v>
      </c>
    </row>
    <row r="1049" spans="1:4" x14ac:dyDescent="0.35">
      <c r="A1049" s="329" t="s">
        <v>2424</v>
      </c>
      <c r="B1049" t="s">
        <v>2425</v>
      </c>
      <c r="C1049" s="329"/>
      <c r="D1049" s="329" t="str">
        <f t="shared" si="20"/>
        <v>NACE V - 99.00 Activities of extraterritorial organisations and bodies</v>
      </c>
    </row>
  </sheetData>
  <sortState xmlns:xlrd2="http://schemas.microsoft.com/office/spreadsheetml/2017/richdata2" ref="C2:C1048">
    <sortCondition ref="C2:C1048"/>
  </sortState>
  <phoneticPr fontId="3" type="noConversion"/>
  <dataValidations count="1">
    <dataValidation type="list" allowBlank="1" showInputMessage="1" showErrorMessage="1" sqref="D3:D1049" xr:uid="{C5A457C6-D163-469A-A04B-AC21FACC80E7}">
      <formula1>$D$3:$D$1049</formula1>
    </dataValidation>
  </dataValidations>
  <pageMargins left="0.7" right="0.7" top="0.75" bottom="0.75" header="0.3" footer="0.3"/>
  <pageSetup paperSize="9" orientation="portrait" horizontalDpi="4294967293" verticalDpi="4294967293"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F552C-077B-4406-AA24-E9FFBE74BCD2}">
  <sheetPr codeName="Sheet10"/>
  <dimension ref="A1:G26"/>
  <sheetViews>
    <sheetView workbookViewId="0">
      <selection activeCell="A2" sqref="A2"/>
    </sheetView>
  </sheetViews>
  <sheetFormatPr baseColWidth="10" defaultColWidth="9" defaultRowHeight="14.5" x14ac:dyDescent="0.35"/>
  <cols>
    <col min="1" max="1" width="38.81640625" customWidth="1"/>
    <col min="2" max="2" width="40.08984375" customWidth="1"/>
    <col min="3" max="3" width="27.36328125" customWidth="1"/>
    <col min="4" max="4" width="89" customWidth="1"/>
    <col min="5" max="5" width="30.36328125" customWidth="1"/>
    <col min="6" max="6" width="26.54296875" customWidth="1"/>
    <col min="7" max="7" width="44.26953125" bestFit="1" customWidth="1"/>
  </cols>
  <sheetData>
    <row r="1" spans="1:7" x14ac:dyDescent="0.35">
      <c r="A1" t="s">
        <v>4761</v>
      </c>
      <c r="B1" t="str">
        <f>"du " &amp; template_reporting_period_startdate &amp; " au " &amp; template_reporting_period_enddate</f>
        <v>du - au -</v>
      </c>
      <c r="D1" t="s">
        <v>4678</v>
      </c>
      <c r="E1" t="s">
        <v>3860</v>
      </c>
      <c r="F1" t="s">
        <v>3861</v>
      </c>
      <c r="G1" t="s">
        <v>4679</v>
      </c>
    </row>
    <row r="2" spans="1:7" ht="13.9" customHeight="1" x14ac:dyDescent="0.35">
      <c r="A2" t="s">
        <v>4677</v>
      </c>
      <c r="B2" t="str">
        <f xml:space="preserve"> "au "  &amp; template_reporting_period_enddate</f>
        <v>au -</v>
      </c>
      <c r="D2" s="317" t="str">
        <f>IF(AND('Informations générales'!$H$107=TRUE, 'Informations générales'!D108&lt;&gt;"", 'Informations générales'!E108&lt;&gt;"", 'Informations générales'!F108&lt;&gt;"", 'Informations générales'!G108&lt;&gt;""), _xlfn.WEBSERVICE("https://nominatim.openstreetmap.org/search?q=" &amp; 'Informations générales'!K108 &amp; "&amp;format=json&amp;polygon=1&amp;addressdetails=1"), "")</f>
        <v/>
      </c>
      <c r="E2" s="318" t="e">
        <f t="shared" ref="E2:E26" si="0">MID(D2,SEARCH("""lat"":""",D2)+7,SEARCH("""lon"":""",D2)-SEARCH("""lat"":""",D2)-9)</f>
        <v>#VALUE!</v>
      </c>
      <c r="F2" s="318" t="e">
        <f t="shared" ref="F2:F26" si="1">MID(D2, SEARCH("""lon"":""", D2) + 7, SEARCH("""class""", D2) - SEARCH("""lon"":""", D2) - 9)</f>
        <v>#VALUE!</v>
      </c>
      <c r="G2" t="e">
        <f t="shared" ref="G2:G26" si="2">E2 &amp; "," &amp; F2</f>
        <v>#VALUE!</v>
      </c>
    </row>
    <row r="3" spans="1:7" ht="15.65" customHeight="1" x14ac:dyDescent="0.35">
      <c r="D3" s="317" t="str">
        <f>IF(AND('Informations générales'!$H$107=TRUE, 'Informations générales'!D109&lt;&gt;"", 'Informations générales'!E109&lt;&gt;"", 'Informations générales'!F109&lt;&gt;"", 'Informations générales'!G109&lt;&gt;""), _xlfn.WEBSERVICE("https://nominatim.openstreetmap.org/search?q=" &amp; 'Informations générales'!K109 &amp; "&amp;format=json&amp;polygon=1&amp;addressdetails=1"), "")</f>
        <v/>
      </c>
      <c r="E3" s="318" t="e">
        <f t="shared" si="0"/>
        <v>#VALUE!</v>
      </c>
      <c r="F3" s="318" t="e">
        <f t="shared" si="1"/>
        <v>#VALUE!</v>
      </c>
      <c r="G3" t="e">
        <f t="shared" si="2"/>
        <v>#VALUE!</v>
      </c>
    </row>
    <row r="4" spans="1:7" x14ac:dyDescent="0.35">
      <c r="D4" s="317" t="str">
        <f>IF(AND('Informations générales'!$H$107=TRUE, 'Informations générales'!D110&lt;&gt;"", 'Informations générales'!E110&lt;&gt;"", 'Informations générales'!F110&lt;&gt;"", 'Informations générales'!G110&lt;&gt;""), _xlfn.WEBSERVICE("https://nominatim.openstreetmap.org/search?q=" &amp; 'Informations générales'!K110 &amp; "&amp;format=json&amp;polygon=1&amp;addressdetails=1"), "")</f>
        <v/>
      </c>
      <c r="E4" s="318" t="e">
        <f t="shared" si="0"/>
        <v>#VALUE!</v>
      </c>
      <c r="F4" s="318" t="e">
        <f t="shared" si="1"/>
        <v>#VALUE!</v>
      </c>
      <c r="G4" t="e">
        <f t="shared" si="2"/>
        <v>#VALUE!</v>
      </c>
    </row>
    <row r="5" spans="1:7" x14ac:dyDescent="0.35">
      <c r="D5" s="317" t="str">
        <f>IF(AND('Informations générales'!$H$107=TRUE, 'Informations générales'!D111&lt;&gt;"", 'Informations générales'!E111&lt;&gt;"", 'Informations générales'!F111&lt;&gt;"", 'Informations générales'!G111&lt;&gt;""), _xlfn.WEBSERVICE("https://nominatim.openstreetmap.org/search?q=" &amp; 'Informations générales'!K111 &amp; "&amp;format=json&amp;polygon=1&amp;addressdetails=1"), "")</f>
        <v/>
      </c>
      <c r="E5" s="318" t="e">
        <f t="shared" si="0"/>
        <v>#VALUE!</v>
      </c>
      <c r="F5" s="318" t="e">
        <f t="shared" si="1"/>
        <v>#VALUE!</v>
      </c>
      <c r="G5" t="e">
        <f t="shared" si="2"/>
        <v>#VALUE!</v>
      </c>
    </row>
    <row r="6" spans="1:7" x14ac:dyDescent="0.35">
      <c r="D6" s="317" t="str">
        <f>IF(AND('Informations générales'!$H$107=TRUE, 'Informations générales'!D112&lt;&gt;"", 'Informations générales'!E112&lt;&gt;"", 'Informations générales'!F112&lt;&gt;"", 'Informations générales'!G112&lt;&gt;""), _xlfn.WEBSERVICE("https://nominatim.openstreetmap.org/search?q=" &amp; 'Informations générales'!K112 &amp; "&amp;format=json&amp;polygon=1&amp;addressdetails=1"), "")</f>
        <v/>
      </c>
      <c r="E6" s="318" t="e">
        <f t="shared" si="0"/>
        <v>#VALUE!</v>
      </c>
      <c r="F6" s="318" t="e">
        <f t="shared" si="1"/>
        <v>#VALUE!</v>
      </c>
      <c r="G6" t="e">
        <f t="shared" si="2"/>
        <v>#VALUE!</v>
      </c>
    </row>
    <row r="7" spans="1:7" x14ac:dyDescent="0.35">
      <c r="D7" s="317" t="str">
        <f>IF(AND('Informations générales'!$H$107=TRUE, 'Informations générales'!D113&lt;&gt;"", 'Informations générales'!E113&lt;&gt;"", 'Informations générales'!F113&lt;&gt;"", 'Informations générales'!G113&lt;&gt;""), _xlfn.WEBSERVICE("https://nominatim.openstreetmap.org/search?q=" &amp; 'Informations générales'!K113 &amp; "&amp;format=json&amp;polygon=1&amp;addressdetails=1"), "")</f>
        <v/>
      </c>
      <c r="E7" s="318" t="e">
        <f t="shared" si="0"/>
        <v>#VALUE!</v>
      </c>
      <c r="F7" s="318" t="e">
        <f t="shared" si="1"/>
        <v>#VALUE!</v>
      </c>
      <c r="G7" t="e">
        <f t="shared" si="2"/>
        <v>#VALUE!</v>
      </c>
    </row>
    <row r="8" spans="1:7" x14ac:dyDescent="0.35">
      <c r="D8" s="317" t="str">
        <f>IF(AND('Informations générales'!$H$107=TRUE, 'Informations générales'!D114&lt;&gt;"", 'Informations générales'!E114&lt;&gt;"", 'Informations générales'!F114&lt;&gt;"", 'Informations générales'!G114&lt;&gt;""), _xlfn.WEBSERVICE("https://nominatim.openstreetmap.org/search?q=" &amp; 'Informations générales'!K114 &amp; "&amp;format=json&amp;polygon=1&amp;addressdetails=1"), "")</f>
        <v/>
      </c>
      <c r="E8" s="318" t="e">
        <f t="shared" si="0"/>
        <v>#VALUE!</v>
      </c>
      <c r="F8" s="318" t="e">
        <f t="shared" si="1"/>
        <v>#VALUE!</v>
      </c>
      <c r="G8" t="e">
        <f t="shared" si="2"/>
        <v>#VALUE!</v>
      </c>
    </row>
    <row r="9" spans="1:7" x14ac:dyDescent="0.35">
      <c r="D9" s="317" t="str">
        <f>IF(AND('Informations générales'!$H$107=TRUE, 'Informations générales'!D115&lt;&gt;"", 'Informations générales'!E115&lt;&gt;"", 'Informations générales'!F115&lt;&gt;"", 'Informations générales'!G115&lt;&gt;""), _xlfn.WEBSERVICE("https://nominatim.openstreetmap.org/search?q=" &amp; 'Informations générales'!K115 &amp; "&amp;format=json&amp;polygon=1&amp;addressdetails=1"), "")</f>
        <v/>
      </c>
      <c r="E9" s="318" t="e">
        <f t="shared" si="0"/>
        <v>#VALUE!</v>
      </c>
      <c r="F9" s="318" t="e">
        <f t="shared" si="1"/>
        <v>#VALUE!</v>
      </c>
      <c r="G9" t="e">
        <f t="shared" si="2"/>
        <v>#VALUE!</v>
      </c>
    </row>
    <row r="10" spans="1:7" x14ac:dyDescent="0.35">
      <c r="D10" s="317" t="str">
        <f>IF(AND('Informations générales'!$H$107=TRUE, 'Informations générales'!D116&lt;&gt;"", 'Informations générales'!E116&lt;&gt;"", 'Informations générales'!F116&lt;&gt;"", 'Informations générales'!G116&lt;&gt;""), _xlfn.WEBSERVICE("https://nominatim.openstreetmap.org/search?q=" &amp; 'Informations générales'!K116 &amp; "&amp;format=json&amp;polygon=1&amp;addressdetails=1"), "")</f>
        <v/>
      </c>
      <c r="E10" s="318" t="e">
        <f t="shared" si="0"/>
        <v>#VALUE!</v>
      </c>
      <c r="F10" s="318" t="e">
        <f t="shared" si="1"/>
        <v>#VALUE!</v>
      </c>
      <c r="G10" t="e">
        <f t="shared" si="2"/>
        <v>#VALUE!</v>
      </c>
    </row>
    <row r="11" spans="1:7" x14ac:dyDescent="0.35">
      <c r="D11" s="317" t="str">
        <f>IF(AND('Informations générales'!$H$107=TRUE, 'Informations générales'!D117&lt;&gt;"", 'Informations générales'!E117&lt;&gt;"", 'Informations générales'!F117&lt;&gt;"", 'Informations générales'!G117&lt;&gt;""), _xlfn.WEBSERVICE("https://nominatim.openstreetmap.org/search?q=" &amp; 'Informations générales'!K117 &amp; "&amp;format=json&amp;polygon=1&amp;addressdetails=1"), "")</f>
        <v/>
      </c>
      <c r="E11" s="318" t="e">
        <f t="shared" si="0"/>
        <v>#VALUE!</v>
      </c>
      <c r="F11" s="318" t="e">
        <f t="shared" si="1"/>
        <v>#VALUE!</v>
      </c>
      <c r="G11" t="e">
        <f t="shared" si="2"/>
        <v>#VALUE!</v>
      </c>
    </row>
    <row r="12" spans="1:7" x14ac:dyDescent="0.35">
      <c r="D12" s="317" t="str">
        <f>IF(AND('Informations générales'!$H$107=TRUE, 'Informations générales'!D118&lt;&gt;"", 'Informations générales'!E118&lt;&gt;"", 'Informations générales'!F118&lt;&gt;"", 'Informations générales'!G118&lt;&gt;""), _xlfn.WEBSERVICE("https://nominatim.openstreetmap.org/search?q=" &amp; 'Informations générales'!K118 &amp; "&amp;format=json&amp;polygon=1&amp;addressdetails=1"), "")</f>
        <v/>
      </c>
      <c r="E12" s="318" t="e">
        <f t="shared" si="0"/>
        <v>#VALUE!</v>
      </c>
      <c r="F12" s="318" t="e">
        <f t="shared" si="1"/>
        <v>#VALUE!</v>
      </c>
      <c r="G12" t="e">
        <f t="shared" si="2"/>
        <v>#VALUE!</v>
      </c>
    </row>
    <row r="13" spans="1:7" x14ac:dyDescent="0.35">
      <c r="D13" s="317" t="str">
        <f>IF(AND('Informations générales'!$H$107=TRUE, 'Informations générales'!D119&lt;&gt;"", 'Informations générales'!E119&lt;&gt;"", 'Informations générales'!F119&lt;&gt;"", 'Informations générales'!G119&lt;&gt;""), _xlfn.WEBSERVICE("https://nominatim.openstreetmap.org/search?q=" &amp; 'Informations générales'!K119 &amp; "&amp;format=json&amp;polygon=1&amp;addressdetails=1"), "")</f>
        <v/>
      </c>
      <c r="E13" s="318" t="e">
        <f t="shared" si="0"/>
        <v>#VALUE!</v>
      </c>
      <c r="F13" s="318" t="e">
        <f t="shared" si="1"/>
        <v>#VALUE!</v>
      </c>
      <c r="G13" t="e">
        <f t="shared" si="2"/>
        <v>#VALUE!</v>
      </c>
    </row>
    <row r="14" spans="1:7" x14ac:dyDescent="0.35">
      <c r="D14" s="317" t="str">
        <f>IF(AND('Informations générales'!$H$107=TRUE, 'Informations générales'!D120&lt;&gt;"", 'Informations générales'!E120&lt;&gt;"", 'Informations générales'!F120&lt;&gt;"", 'Informations générales'!G120&lt;&gt;""), _xlfn.WEBSERVICE("https://nominatim.openstreetmap.org/search?q=" &amp; 'Informations générales'!K120 &amp; "&amp;format=json&amp;polygon=1&amp;addressdetails=1"), "")</f>
        <v/>
      </c>
      <c r="E14" s="318" t="e">
        <f t="shared" si="0"/>
        <v>#VALUE!</v>
      </c>
      <c r="F14" s="318" t="e">
        <f t="shared" si="1"/>
        <v>#VALUE!</v>
      </c>
      <c r="G14" t="e">
        <f t="shared" si="2"/>
        <v>#VALUE!</v>
      </c>
    </row>
    <row r="15" spans="1:7" x14ac:dyDescent="0.35">
      <c r="D15" s="317" t="str">
        <f>IF(AND('Informations générales'!$H$107=TRUE, 'Informations générales'!D121&lt;&gt;"", 'Informations générales'!E121&lt;&gt;"", 'Informations générales'!F121&lt;&gt;"", 'Informations générales'!G121&lt;&gt;""), _xlfn.WEBSERVICE("https://nominatim.openstreetmap.org/search?q=" &amp; 'Informations générales'!K121 &amp; "&amp;format=json&amp;polygon=1&amp;addressdetails=1"), "")</f>
        <v/>
      </c>
      <c r="E15" s="318" t="e">
        <f t="shared" si="0"/>
        <v>#VALUE!</v>
      </c>
      <c r="F15" s="318" t="e">
        <f t="shared" si="1"/>
        <v>#VALUE!</v>
      </c>
      <c r="G15" t="e">
        <f t="shared" si="2"/>
        <v>#VALUE!</v>
      </c>
    </row>
    <row r="16" spans="1:7" x14ac:dyDescent="0.35">
      <c r="D16" s="317" t="str">
        <f>IF(AND('Informations générales'!$H$107=TRUE, 'Informations générales'!D122&lt;&gt;"", 'Informations générales'!E122&lt;&gt;"", 'Informations générales'!F122&lt;&gt;"", 'Informations générales'!G122&lt;&gt;""), _xlfn.WEBSERVICE("https://nominatim.openstreetmap.org/search?q=" &amp; 'Informations générales'!K122 &amp; "&amp;format=json&amp;polygon=1&amp;addressdetails=1"), "")</f>
        <v/>
      </c>
      <c r="E16" s="318" t="e">
        <f t="shared" si="0"/>
        <v>#VALUE!</v>
      </c>
      <c r="F16" s="318" t="e">
        <f t="shared" si="1"/>
        <v>#VALUE!</v>
      </c>
      <c r="G16" t="e">
        <f t="shared" si="2"/>
        <v>#VALUE!</v>
      </c>
    </row>
    <row r="17" spans="4:7" x14ac:dyDescent="0.35">
      <c r="D17" s="317" t="str">
        <f>IF(AND('Informations générales'!$H$107=TRUE, 'Informations générales'!D123&lt;&gt;"", 'Informations générales'!E123&lt;&gt;"", 'Informations générales'!F123&lt;&gt;"", 'Informations générales'!G123&lt;&gt;""), _xlfn.WEBSERVICE("https://nominatim.openstreetmap.org/search?q=" &amp; 'Informations générales'!K123 &amp; "&amp;format=json&amp;polygon=1&amp;addressdetails=1"), "")</f>
        <v/>
      </c>
      <c r="E17" s="318" t="e">
        <f t="shared" si="0"/>
        <v>#VALUE!</v>
      </c>
      <c r="F17" s="318" t="e">
        <f t="shared" si="1"/>
        <v>#VALUE!</v>
      </c>
      <c r="G17" t="e">
        <f t="shared" si="2"/>
        <v>#VALUE!</v>
      </c>
    </row>
    <row r="18" spans="4:7" x14ac:dyDescent="0.35">
      <c r="D18" s="317" t="str">
        <f>IF(AND('Informations générales'!$H$107=TRUE, 'Informations générales'!D124&lt;&gt;"", 'Informations générales'!E124&lt;&gt;"", 'Informations générales'!F124&lt;&gt;"", 'Informations générales'!G124&lt;&gt;""), _xlfn.WEBSERVICE("https://nominatim.openstreetmap.org/search?q=" &amp; 'Informations générales'!K124 &amp; "&amp;format=json&amp;polygon=1&amp;addressdetails=1"), "")</f>
        <v/>
      </c>
      <c r="E18" s="318" t="e">
        <f t="shared" si="0"/>
        <v>#VALUE!</v>
      </c>
      <c r="F18" s="318" t="e">
        <f t="shared" si="1"/>
        <v>#VALUE!</v>
      </c>
      <c r="G18" t="e">
        <f t="shared" si="2"/>
        <v>#VALUE!</v>
      </c>
    </row>
    <row r="19" spans="4:7" x14ac:dyDescent="0.35">
      <c r="D19" s="317" t="str">
        <f>IF(AND('Informations générales'!$H$107=TRUE, 'Informations générales'!D125&lt;&gt;"", 'Informations générales'!E125&lt;&gt;"", 'Informations générales'!F125&lt;&gt;"", 'Informations générales'!G125&lt;&gt;""), _xlfn.WEBSERVICE("https://nominatim.openstreetmap.org/search?q=" &amp; 'Informations générales'!K125 &amp; "&amp;format=json&amp;polygon=1&amp;addressdetails=1"), "")</f>
        <v/>
      </c>
      <c r="E19" s="318" t="e">
        <f t="shared" si="0"/>
        <v>#VALUE!</v>
      </c>
      <c r="F19" s="318" t="e">
        <f t="shared" si="1"/>
        <v>#VALUE!</v>
      </c>
      <c r="G19" t="e">
        <f t="shared" si="2"/>
        <v>#VALUE!</v>
      </c>
    </row>
    <row r="20" spans="4:7" x14ac:dyDescent="0.35">
      <c r="D20" s="317" t="str">
        <f>IF(AND('Informations générales'!$H$107=TRUE, 'Informations générales'!D126&lt;&gt;"", 'Informations générales'!E126&lt;&gt;"", 'Informations générales'!F126&lt;&gt;"", 'Informations générales'!G126&lt;&gt;""), _xlfn.WEBSERVICE("https://nominatim.openstreetmap.org/search?q=" &amp; 'Informations générales'!K126 &amp; "&amp;format=json&amp;polygon=1&amp;addressdetails=1"), "")</f>
        <v/>
      </c>
      <c r="E20" s="318" t="e">
        <f t="shared" si="0"/>
        <v>#VALUE!</v>
      </c>
      <c r="F20" s="318" t="e">
        <f t="shared" si="1"/>
        <v>#VALUE!</v>
      </c>
      <c r="G20" t="e">
        <f t="shared" si="2"/>
        <v>#VALUE!</v>
      </c>
    </row>
    <row r="21" spans="4:7" x14ac:dyDescent="0.35">
      <c r="D21" s="317" t="str">
        <f>IF(AND('Informations générales'!$H$107=TRUE, 'Informations générales'!D127&lt;&gt;"", 'Informations générales'!E127&lt;&gt;"", 'Informations générales'!F127&lt;&gt;"", 'Informations générales'!G127&lt;&gt;""), _xlfn.WEBSERVICE("https://nominatim.openstreetmap.org/search?q=" &amp; 'Informations générales'!K127 &amp; "&amp;format=json&amp;polygon=1&amp;addressdetails=1"), "")</f>
        <v/>
      </c>
      <c r="E21" s="318" t="e">
        <f t="shared" si="0"/>
        <v>#VALUE!</v>
      </c>
      <c r="F21" s="318" t="e">
        <f t="shared" si="1"/>
        <v>#VALUE!</v>
      </c>
      <c r="G21" t="e">
        <f t="shared" si="2"/>
        <v>#VALUE!</v>
      </c>
    </row>
    <row r="22" spans="4:7" x14ac:dyDescent="0.35">
      <c r="D22" s="317" t="str">
        <f>IF(AND('Informations générales'!$H$107=TRUE, 'Informations générales'!D128&lt;&gt;"", 'Informations générales'!E128&lt;&gt;"", 'Informations générales'!F128&lt;&gt;"", 'Informations générales'!G128&lt;&gt;""), _xlfn.WEBSERVICE("https://nominatim.openstreetmap.org/search?q=" &amp; 'Informations générales'!K128 &amp; "&amp;format=json&amp;polygon=1&amp;addressdetails=1"), "")</f>
        <v/>
      </c>
      <c r="E22" s="318" t="e">
        <f t="shared" si="0"/>
        <v>#VALUE!</v>
      </c>
      <c r="F22" s="318" t="e">
        <f t="shared" si="1"/>
        <v>#VALUE!</v>
      </c>
      <c r="G22" t="e">
        <f t="shared" si="2"/>
        <v>#VALUE!</v>
      </c>
    </row>
    <row r="23" spans="4:7" x14ac:dyDescent="0.35">
      <c r="D23" s="317" t="str">
        <f>IF(AND('Informations générales'!$H$107=TRUE, 'Informations générales'!D129&lt;&gt;"", 'Informations générales'!E129&lt;&gt;"", 'Informations générales'!F129&lt;&gt;"", 'Informations générales'!G129&lt;&gt;""), _xlfn.WEBSERVICE("https://nominatim.openstreetmap.org/search?q=" &amp; 'Informations générales'!K129 &amp; "&amp;format=json&amp;polygon=1&amp;addressdetails=1"), "")</f>
        <v/>
      </c>
      <c r="E23" s="318" t="e">
        <f t="shared" si="0"/>
        <v>#VALUE!</v>
      </c>
      <c r="F23" s="318" t="e">
        <f t="shared" si="1"/>
        <v>#VALUE!</v>
      </c>
      <c r="G23" t="e">
        <f t="shared" si="2"/>
        <v>#VALUE!</v>
      </c>
    </row>
    <row r="24" spans="4:7" x14ac:dyDescent="0.35">
      <c r="D24" s="317" t="str">
        <f>IF(AND('Informations générales'!$H$107=TRUE, 'Informations générales'!D130&lt;&gt;"", 'Informations générales'!E130&lt;&gt;"", 'Informations générales'!F130&lt;&gt;"", 'Informations générales'!G130&lt;&gt;""), _xlfn.WEBSERVICE("https://nominatim.openstreetmap.org/search?q=" &amp; 'Informations générales'!K130 &amp; "&amp;format=json&amp;polygon=1&amp;addressdetails=1"), "")</f>
        <v/>
      </c>
      <c r="E24" s="318" t="e">
        <f t="shared" si="0"/>
        <v>#VALUE!</v>
      </c>
      <c r="F24" s="318" t="e">
        <f t="shared" si="1"/>
        <v>#VALUE!</v>
      </c>
      <c r="G24" t="e">
        <f t="shared" si="2"/>
        <v>#VALUE!</v>
      </c>
    </row>
    <row r="25" spans="4:7" x14ac:dyDescent="0.35">
      <c r="D25" s="317" t="str">
        <f>IF(AND('Informations générales'!$H$107=TRUE, 'Informations générales'!D131&lt;&gt;"", 'Informations générales'!E131&lt;&gt;"", 'Informations générales'!F131&lt;&gt;"", 'Informations générales'!G131&lt;&gt;""), _xlfn.WEBSERVICE("https://nominatim.openstreetmap.org/search?q=" &amp; 'Informations générales'!K131 &amp; "&amp;format=json&amp;polygon=1&amp;addressdetails=1"), "")</f>
        <v/>
      </c>
      <c r="E25" s="318" t="e">
        <f t="shared" si="0"/>
        <v>#VALUE!</v>
      </c>
      <c r="F25" s="318" t="e">
        <f t="shared" si="1"/>
        <v>#VALUE!</v>
      </c>
      <c r="G25" t="e">
        <f t="shared" si="2"/>
        <v>#VALUE!</v>
      </c>
    </row>
    <row r="26" spans="4:7" x14ac:dyDescent="0.35">
      <c r="D26" s="317" t="str">
        <f>IF(AND('Informations générales'!$H$107=TRUE, 'Informations générales'!D132&lt;&gt;"", 'Informations générales'!E132&lt;&gt;"", 'Informations générales'!F132&lt;&gt;"", 'Informations générales'!G132&lt;&gt;""), _xlfn.WEBSERVICE("https://nominatim.openstreetmap.org/search?q=" &amp; 'Informations générales'!K132 &amp; "&amp;format=json&amp;polygon=1&amp;addressdetails=1"), "")</f>
        <v/>
      </c>
      <c r="E26" s="318" t="e">
        <f t="shared" si="0"/>
        <v>#VALUE!</v>
      </c>
      <c r="F26" s="318" t="e">
        <f t="shared" si="1"/>
        <v>#VALUE!</v>
      </c>
      <c r="G26" t="e">
        <f t="shared" si="2"/>
        <v>#VALUE!</v>
      </c>
    </row>
  </sheetData>
  <pageMargins left="0.7" right="0.7" top="0.75" bottom="0.75" header="0.3" footer="0.3"/>
  <ignoredErrors>
    <ignoredError sqref="E2:E26 F2:F26 G2:G26" evalErro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004F5-C921-4BA0-AB27-BE7B509778F1}">
  <dimension ref="B1:C68"/>
  <sheetViews>
    <sheetView topLeftCell="A8" zoomScale="70" zoomScaleNormal="70" workbookViewId="0">
      <selection activeCell="C26" sqref="C26"/>
    </sheetView>
  </sheetViews>
  <sheetFormatPr baseColWidth="10" defaultColWidth="8.81640625" defaultRowHeight="14.5" x14ac:dyDescent="0.35"/>
  <cols>
    <col min="1" max="1" width="3.7265625" style="8" customWidth="1"/>
    <col min="2" max="2" width="98.08984375" style="8" customWidth="1"/>
    <col min="3" max="3" width="50.7265625" style="8" customWidth="1"/>
    <col min="4" max="16384" width="8.81640625" style="8"/>
  </cols>
  <sheetData>
    <row r="1" spans="2:3" ht="15" thickBot="1" x14ac:dyDescent="0.4"/>
    <row r="2" spans="2:3" ht="18.5" x14ac:dyDescent="0.45">
      <c r="B2" s="360"/>
      <c r="C2" s="361" t="s">
        <v>4796</v>
      </c>
    </row>
    <row r="3" spans="2:3" ht="26" x14ac:dyDescent="0.6">
      <c r="B3" s="362" t="s">
        <v>4002</v>
      </c>
      <c r="C3" s="399" t="str" cm="1">
        <f t="array" ref="C3">IF(SUMPRODUCT(--((C5:C68&lt;&gt;"OK")*(C5:C68&lt;&gt;"-")*(C5:C68&lt;&gt;""))) &gt; 0, "INCOMPLET", "COMPLET")</f>
        <v>INCOMPLET</v>
      </c>
    </row>
    <row r="4" spans="2:3" ht="18.5" x14ac:dyDescent="0.35">
      <c r="B4" s="363" t="s">
        <v>4801</v>
      </c>
      <c r="C4" s="364" t="s">
        <v>4795</v>
      </c>
    </row>
    <row r="5" spans="2:3" x14ac:dyDescent="0.35">
      <c r="B5" s="365" t="s">
        <v>3991</v>
      </c>
      <c r="C5" s="366"/>
    </row>
    <row r="6" spans="2:3" x14ac:dyDescent="0.35">
      <c r="B6" s="367" t="s">
        <v>4764</v>
      </c>
      <c r="C6" s="400" t="str">
        <f>IF(
    AND(
        COUNTIF('Informations générales'!F3:F12, "VALEUR MANQUANTE") &gt; 0,
        COUNTIF('Informations générales'!F3:F12, "ERREUR") = 0
    ),
    "VALEUR MANQUANTE",
    IF(
        AND(
            COUNTIF('Informations générales'!F3:F12, "ERREUR") &gt; 0,
            COUNTIF('Informations générales'!F3:F12, "VALEUR MANQUANTE") = 0
        ),
        "VALEUR NON CONFORME",
        IF(
            AND(
                COUNTIF('Informations générales'!F3:F12, "ERREUR") &gt; 0,
                COUNTIF('Informations générales'!F3:F12, "VALEUR MANQUANTE") &gt; 0
            ),
            "ERREUR + VALEUR NON CONFORME",
            "OK"
        )
    )
)</f>
        <v>VALEUR MANQUANTE</v>
      </c>
    </row>
    <row r="7" spans="2:3" x14ac:dyDescent="0.35">
      <c r="B7" s="369" t="s">
        <v>3992</v>
      </c>
      <c r="C7" s="368" t="str">
        <f>IF(COUNTIF('Informations générales'!F18:F29, "VALEUR MANQUANTE") &gt; 0, "VALEUR MANQUANTE",
IF(COUNTIF('Informations générales'!F18:F29, "URL NON VALIDE") &gt; 0, "URL NON VALIDE",
IF(COUNTIF('Informations générales'!F18:F29, "OK") &gt; 0, "OK", "-")))</f>
        <v>-</v>
      </c>
    </row>
    <row r="8" spans="2:3" ht="15.5" x14ac:dyDescent="0.35">
      <c r="B8" s="370" t="s">
        <v>3986</v>
      </c>
      <c r="C8" s="371"/>
    </row>
    <row r="9" spans="2:3" x14ac:dyDescent="0.35">
      <c r="B9" s="365" t="s">
        <v>3991</v>
      </c>
      <c r="C9" s="366"/>
    </row>
    <row r="10" spans="2:3" x14ac:dyDescent="0.35">
      <c r="B10" s="372" t="s">
        <v>3993</v>
      </c>
      <c r="C10" s="400" t="str">
        <f>IF(COUNTIF(C11:C14,"ERREUR + URL NON VALIDE + VALEUR NON CONFORME")&gt;0,"ERREUR + VALEUR MANQUANTE + VALEUR NON CONFORME",
IF(COUNTIF(C11:C14,"ERREUR + VALEUR NON CONFORME")&gt;0,"ERREUR + VALEUR NON CONFORME",
IF(COUNTIF(C11:C14,"ERREUR + VALEUR MANQUANTE")&gt;0,"ERREUR + VALEUR MANQUANTE",
IF(COUNTIF(C11:C14,"ERREUR")&gt;0,"ERREUR",
IF(COUNTIF(C11:C14,"VALEUR MANQUANTE + VALEUR NON CONFORME")&gt;0,"VALEUR MANQUANTE + VALEUR NON CONFORME",
IF(COUNTIF(C11:C14,"VALEUR NON CONFORME")&gt;0,"VALEUR NON CONFORME",
IF(COUNTIF(C11:C14,"VALEUR MANQUANTE")&gt;0,"VALEUR MANQUANTE",IF(COUNTIF(C11:C14,"OK")=ROWS(C11:C14),"OK",
IF(COUNTIF(C11:C14,"-")=ROWS(C11:C14),"-",
"OK")))))))))</f>
        <v>VALEUR MANQUANTE</v>
      </c>
    </row>
    <row r="11" spans="2:3" x14ac:dyDescent="0.35">
      <c r="B11" s="373" t="s">
        <v>3994</v>
      </c>
      <c r="C11" s="400" t="str">
        <f>IF(
    AND(
        COUNTIF('Informations générales'!F32:F65, "VALEUR MANQUANTE") &gt; 0,
        COUNTIF('Informations générales'!F32:F65, "VALEUR NON CONFORME") = 0
    ),
    "VALEUR MANQUANTE",
    IF(
        AND(
            COUNTIF('Informations générales'!F32:F65, "VALEUR NON CONFORME") &gt; 0,
            COUNTIF('Informations générales'!F32:F65, "VALEUR MANQUANTE") = 0
        ),
        "VALEUR NON CONFORME",
        IF(
            AND(
                COUNTIF('Informations générales'!F32:F65, "VALEUR NON CONFORME") &gt; 0,
                COUNTIF('Informations générales'!F32:F65, "VALEUR MANQUANTE") &gt; 0
            ),
            "ERREUR + VALEUR NON CONFORME",
            "OK"
        )
    )
)</f>
        <v>VALEUR MANQUANTE</v>
      </c>
    </row>
    <row r="12" spans="2:3" x14ac:dyDescent="0.35">
      <c r="B12" s="373" t="s">
        <v>3996</v>
      </c>
      <c r="C12" s="368" t="str">
        <f>IF(COUNTIF('Informations générales'!F70:F94, "VALEUR MANQUANTE") &gt; 0, "VALEUR MANQUANTE", IF(COUNTIF('Informations générales'!F70:F94, "OK") &gt; 0, "OK", "-"))</f>
        <v>-</v>
      </c>
    </row>
    <row r="13" spans="2:3" x14ac:dyDescent="0.35">
      <c r="B13" s="373" t="s">
        <v>4797</v>
      </c>
      <c r="C13" s="368" t="str">
        <f>IF(COUNTIF('Informations générales'!I100, "VALEUR MANQUANTE") &gt; 0, "VALEUR MANQUANTE", IF(COUNTIF('Informations générales'!I100, "OK") &gt; 0, "OK", "-"))</f>
        <v>-</v>
      </c>
    </row>
    <row r="14" spans="2:3" x14ac:dyDescent="0.35">
      <c r="B14" s="373" t="s">
        <v>3995</v>
      </c>
      <c r="C14" s="368" t="str">
        <f>IF(COUNTIF('Informations générales'!I108:I132, "VALEUR MANQUANTE") &gt; 0, "VALEUR MANQUANTE", IF(COUNTIF('Informations générales'!I108:I132, "OK") &gt; 0, "OK", "-"))</f>
        <v>-</v>
      </c>
    </row>
    <row r="15" spans="2:3" x14ac:dyDescent="0.35">
      <c r="B15" s="373" t="s">
        <v>3997</v>
      </c>
      <c r="C15" s="368" t="str">
        <f>IF(COUNTIF(C16:C17,"ERREUR + VALEUR MANQUANTE + VALEUR NON CONFORME")&gt;0,"ERREUR + VALEUR MANQUANTE + VALEUR NON CONFORME",
IF(COUNTIF(C16:C17,"ERREUR +VALEUR NON CONFORME")&gt;0,"ERREUR + VALEUR NON CONFORME",
IF(COUNTIF(C16:C17,"ERREUR + VALEUR MANQUANTE")&gt;0,"ERREUR + VALEUR MANQUANTE",
IF(COUNTIF(C16:C17,"ERREUR")&gt;0,"ERREUR",
IF(COUNTIF(C16:C17,"VALEUR MANQUANTE + VALEUR NON CONFORME")&gt;0,"VALEUR MANQUANTE + VALEUR NON CONFORME",
IF(COUNTIF(C16:C17,"VALEUR NON CONFORME")&gt;0,"VALEUR NON CONFORME",
IF(COUNTIF(C16:C17,"VALEUR MANQUANTE")&gt;0,"VALEUR MANQUANTE",IF(COUNTIF(C16:C17,"OK")=ROWS(C16:C17),"OK",
IF(COUNTIF(C16:C17,"-")=ROWS(C16:C17),"-",
"OK")))))))))</f>
        <v>-</v>
      </c>
    </row>
    <row r="16" spans="2:3" x14ac:dyDescent="0.35">
      <c r="B16" s="373" t="s">
        <v>3998</v>
      </c>
      <c r="C16" s="368" t="str">
        <f>IF(COUNTIF('Informations générales'!P139, "VALEUR MANQUANTE") &gt; 0, "VALEUR MANQUANTE", IF(COUNTIF('Informations générales'!P139, "OK") &gt; 0, "OK", "-"))</f>
        <v>-</v>
      </c>
    </row>
    <row r="17" spans="2:3" x14ac:dyDescent="0.35">
      <c r="B17" s="373" t="s">
        <v>3999</v>
      </c>
      <c r="C17" s="368" t="str" cm="1">
        <f t="array" ref="C17">IF(OR('Informations générales'!E143:E145="OK"),"OK","-")</f>
        <v>-</v>
      </c>
    </row>
    <row r="18" spans="2:3" x14ac:dyDescent="0.35">
      <c r="B18" s="374" t="s">
        <v>4000</v>
      </c>
      <c r="C18" s="366"/>
    </row>
    <row r="19" spans="2:3" x14ac:dyDescent="0.35">
      <c r="B19" s="375" t="s">
        <v>4001</v>
      </c>
      <c r="C19" s="368" t="str">
        <f>IF(COUNTIF(C20:C23,"ERREUR + VALEUR MANQUANTE + VALEUR NON CONFORME")&gt;0,"ERREUR + VALEUR MANQUANTE + VALEUR NON CONFORME",
IF(COUNTIF(C20:C23,"ERREUR + VALEUR NON CONFORME")&gt;0,"ERREUR + VALEUR NON CONFORME",
IF(COUNTIF(C20:C23,"ERREUR + VALEUR MANQUANTE")&gt;0,"ERREUR + VALEUR MANQUANTE",
IF(COUNTIF(C20:C23,"ERREUR")&gt;0,"ERREUR",
IF(COUNTIF(C20:C23,"VALEUR MANQUANTE + VALEUR NON CONFORME")&gt;0,"VALEUR MANQUANTE + VALEUR NON CONFORME",
IF(COUNTIF(C20:C23,"VALEUR NON CONFORME")&gt;0,"VALEUR NON CONFORME",
IF(COUNTIF(C20:C23,"VALEUR MANQUANTE")&gt;0,"VALEUR MANQUANTE",IF(COUNTIF(C20:C23,"OK")=ROWS(C20:C23),"OK",
IF(COUNTIF(C20:C23,"-")=ROWS(C20:C23),"-",
"OK")))))))))</f>
        <v>OK</v>
      </c>
    </row>
    <row r="20" spans="2:3" x14ac:dyDescent="0.35">
      <c r="B20" s="367" t="s">
        <v>4003</v>
      </c>
      <c r="C20" s="368" t="str">
        <f>IF(COUNTIF('Informations environnementales'!L5, "VALEUR MANQUANTE") &gt; 0, "VALEUR MANQUANTE", IF(COUNTIF('Informations environnementales'!L5, "OK") &gt; 0, "OK", "-"))</f>
        <v>-</v>
      </c>
    </row>
    <row r="21" spans="2:3" x14ac:dyDescent="0.35">
      <c r="B21" s="367" t="s">
        <v>4004</v>
      </c>
      <c r="C21" s="376" t="str">
        <f>IF(
AND(
COUNTIF('Informations environnementales'!L12:L14,"VALEUR MANQUANTE")&gt;0,
COUNTIF('Informations environnementales'!L12:L14,"VALEUR NON CONFORME")=0
),
"VALEUR MANQUANTE",
IF(
AND(
COUNTIF('Informations environnementales'!L12:L14,"VALEUR NON CONFORME")&gt;0,
COUNTIF('Informations environnementales'!L12:L14,"VALEUR MANQUANTE")=0
),
"VALEUR NON CONFORME",
IF(
AND(
COUNTIF('Informations environnementales'!L12:L14,"VALEUR NON CONFORME")&gt;0,
COUNTIF('Informations environnementales'!L12:L14,"VALEUR MANQUANTE")&gt;0
),
"ERREUR + VALEUR NON CONFORME",IF(COUNTA('Informations environnementales'!L12:L14,"-"),"-",
"OK"
)
)
))</f>
        <v>-</v>
      </c>
    </row>
    <row r="22" spans="2:3" ht="16.5" x14ac:dyDescent="0.45">
      <c r="B22" s="367" t="s">
        <v>4005</v>
      </c>
      <c r="C22" s="368" t="str">
        <f>IF(COUNTIF('Informations environnementales'!L21:L44, "VALEUR MANQUANTE") &gt; 0, "VALEUR MANQUANTE", IF(COUNTIF('Informations environnementales'!L21:L44, "OK") &gt; 0, "OK", "-"))</f>
        <v>OK</v>
      </c>
    </row>
    <row r="23" spans="2:3" x14ac:dyDescent="0.35">
      <c r="B23" s="367" t="s">
        <v>4006</v>
      </c>
      <c r="C23" s="376" t="str">
        <f>IF(C22="OK", "OK", "-")</f>
        <v>OK</v>
      </c>
    </row>
    <row r="24" spans="2:3" x14ac:dyDescent="0.35">
      <c r="B24" s="367" t="s">
        <v>4007</v>
      </c>
      <c r="C24" s="368" t="str">
        <f>IF(COUNTIF('Informations environnementales'!L75:L119, "URL NON VALIDE") &gt; 0,
   "URL NON VALIDE",
IF(AND(COUNTIF('Informations environnementales'!L75:L119, "VALEUR MANQUANTE") &gt; 0,
       COUNTIF('Informations environnementales'!L75:L119, "VALEUR NON CONFORME") &gt; 0),
   "VALEUR MANQUANTE + VALEUR NON CONFORME",
IF(COUNTIF('Informations environnementales'!L75:L119, "VALEUR MANQUANTE") &gt; 0,
   "VALEUR MANQUANTE",
IF(COUNTIF('Informations environnementales'!L75:L119, "VALEUR NON CONFORME") &gt; 0,
   "VALEUR NON CONFORME",
IF(COUNTIF('Informations environnementales'!L75:L119, "OK") &gt; 0,
   "OK",
"-")))))</f>
        <v>-</v>
      </c>
    </row>
    <row r="25" spans="2:3" x14ac:dyDescent="0.35">
      <c r="B25" s="367" t="s">
        <v>4008</v>
      </c>
      <c r="C25" s="368" t="str">
        <f>IF(COUNTIF(C26:C27,"ERREUR + VALEUR MANQUANTE + VALEUR NON CONFORME")&gt;0,"ERREUR +  VALEUR MANQUANTE + VALEUR NON CONFORME",
IF(COUNTIF(C26:C27,"ERREUR + VALEUR NON CONFORME")&gt;0,"ERREUR + VALEUR NON CONFORME",
IF(COUNTIF(C26:C27,"ERREUR + VALEUR MANQUANTE")&gt;0,"ERREUR + VALEUR MANQUANTE",
IF(COUNTIF(C26:C27,"ERREUR")&gt;0,"ERREUR",
IF(COUNTIF(C26:C27,"VALEUR MANQUANTE + VALEUR NON CONFORME")&gt;0,"VALEUR MANQUANTE + VALEUR NON CONFORME",
IF(COUNTIF(C26:C27,"VALEUR NON CONFORME")&gt;0,"VALEUR NON CONFORME",
IF(COUNTIF(C26:C27,"VALEUR MANQUANTE")&gt;0,"VALEUR MANQUANTE",IF(COUNTIF(C26:C27,"OK")=ROWS(C26:C27),"OK",
IF(COUNTIF(C26:C27,"-")=ROWS(C26:C27),"-",
"OK")))))))))</f>
        <v>-</v>
      </c>
    </row>
    <row r="26" spans="2:3" x14ac:dyDescent="0.35">
      <c r="B26" s="367" t="s">
        <v>4009</v>
      </c>
      <c r="C26" s="368" t="str">
        <f>IF(AND(
        COUNTIF('Informations environnementales'!D128:D153, "OK") + COUNTIF('Informations environnementales'!L126:L153, "OK") &gt; 0,
        COUNTIF('Informations environnementales'!D128:D153, "VALEUR MANQUANTE") + COUNTIF('Informations environnementales'!L126:L153, "VALEUR MANQUANTE") = 0,
        COUNTIF('Informations environnementales'!D128:D153, "VALEUR NON CONFORME") + COUNTIF('Informations environnementales'!L126:L153, "VALEUR NON CONFORME") = 0),
    "OK",
    IF(AND(
           COUNTIF('Informations environnementales'!D128:D153, "VALEUR MANQUANTE") + COUNTIF('Informations environnementales'!L126:L153, "VALEUR MANQUANTE") &gt; 0,
           COUNTIF('Informations environnementales'!D128:D153, "VALEUR NON CONFORME") + COUNTIF('Informations environnementales'!L126:L153, "VALEUR NON CONFORME") = 0),
        "VALEUR MANQUANTE",
        IF(AND(
               COUNTIF('Informations environnementales'!D128:D153, "VALEUR NON CONFORME") + COUNTIF('Informations environnementales'!L126:L153, "VALEUR NON CONFORME") &gt; 0,
               COUNTIF('Informations environnementales'!D128:D153, "VALEUR MANQUANTE") + COUNTIF('Informations environnementales'!L126:L153, "VALEUR MANQUANTE") = 0),
            "VALEUR NON CONFORME",
            IF(AND(
                   COUNTIF('Informations environnementales'!D128:D153, "VALEUR NON CONFORME") + COUNTIF('Informations environnementales'!L126:L153, "VALEUR NON CONFORME") &gt; 0,
                   COUNTIF('Informations environnementales'!D128:D153, "VALEUR MANQUANTE") + COUNTIF('Informations environnementales'!L126:L153, "VALEUR MANQUANTE") &gt; 0),
                "VALEUR MANQUANTE + VALEUR NON CONFORME",
                "-"
            )
        )
    )
)</f>
        <v>-</v>
      </c>
    </row>
    <row r="27" spans="2:3" x14ac:dyDescent="0.35">
      <c r="B27" s="367" t="s">
        <v>4010</v>
      </c>
      <c r="C27" s="368" t="str">
        <f>IF(
AND(
COUNTIF('Informations environnementales'!G159:G164,"VALEUR MANQUANTE")&gt;0,
COUNTIF('Informations environnementales'!G159:G164,"VALEUR NON CONFORME")=0,
COUNTIF('Informations environnementales'!G159:G164,"OK")&gt;=0
),
"VALEUR MANQUANTE",
IF(
AND(
COUNTIF('Informations environnementales'!G159:G164,"VALEUR NON CONFORME")&gt;0,
COUNTIF('Informations environnementales'!G159:G164,"VALEUR MANQUANTE")=0,
COUNTIF('Informations environnementales'!G159:G164,"OK")&gt;=0
),
"VALEUR NON CONFORME",
IF(
AND(
COUNTIF('Informations environnementales'!G159:G164,"VALEUR NON CONFORME")&gt;0,
COUNTIF('Informations environnementales'!G159:G164,"VALEUR MANQUANTE")&gt;0,
COUNTIF('Informations environnementales'!G159:G164,"OK")&gt;=0
),
"VALEUR MANQUANTE + VALEUR NON CONFORME",
IF(
AND(
COUNTIF('Informations environnementales'!G159:G164,"VALEUR NON CONFORME")=0,
COUNTIF('Informations environnementales'!G159:G164,"VALEUR MANQUANTE")=0,
COUNTIF('Informations environnementales'!G159:G164,"OK")&gt;0
),
"OK",
"-"
)
)
))</f>
        <v>-</v>
      </c>
    </row>
    <row r="28" spans="2:3" x14ac:dyDescent="0.35">
      <c r="B28" s="367" t="s">
        <v>4011</v>
      </c>
      <c r="C28" s="368" t="str">
        <f>IF(COUNTIF(C29:C30,"ERREUR + VALEUR MANQUANTE + VALEUR NON CONFORME")&gt;0,"ERREUR + VALEUR MANQUANTE + VALEUR NON CONFORME",
IF(COUNTIF(C29:C30,"ERREUR + VALEUR NON CONFORME")&gt;0,"ERREUR + VALEUR NON CONFORME",
IF(COUNTIF(C29:C30,"ERREUR + VALEUR MANQUANTE")&gt;0,"ERREUR + VALEUR MANQUANTE",
IF(COUNTIF(C29:C30,"ERREUR")&gt;0,"ERREUR",
IF(COUNTIF(C29:C30,"VALEUR MANQUANTE + VALEUR NON CONFORME")&gt;0,"VALEUR MANQUANTE + VALEUR NON CONFORME",
IF(COUNTIF(C29:C30,"VALEUR NON CONFORME")&gt;0,"VALEUR NON CONFORME",
IF(COUNTIF(C29:C30,"VALEUR MANQUANTE")&gt;0,"VALEUR MANQUANTE",IF(COUNTIF(C29:C30,"OK")=ROWS(C29:C30),"OK",
IF(COUNTIF(C29:C30,"-")=ROWS(C29:C30),"-",
"OK")))))))))</f>
        <v>-</v>
      </c>
    </row>
    <row r="29" spans="2:3" x14ac:dyDescent="0.35">
      <c r="B29" s="367" t="s">
        <v>4012</v>
      </c>
      <c r="C29" s="368" t="str">
        <f>IF(COUNTIF('Informations environnementales'!E169:F170, "VALEUR MANQUANTE") &gt; 0, "VALEUR MANQUANTE", IF(COUNTIF('Informations environnementales'!E169:F170, "OK") &gt; 0, "OK", "-"))</f>
        <v>-</v>
      </c>
    </row>
    <row r="30" spans="2:3" x14ac:dyDescent="0.35">
      <c r="B30" s="367" t="s">
        <v>4013</v>
      </c>
      <c r="C30" s="368" t="str">
        <f>IF(COUNTIF('Informations environnementales'!E176:F176, "VALEUR MANQUANTE") &gt; 0, "VALEUR MANQUANTE", IF(COUNTIF('Informations environnementales'!E176:F176, "OK") &gt; 0, "OK", "-"))</f>
        <v>-</v>
      </c>
    </row>
    <row r="31" spans="2:3" x14ac:dyDescent="0.35">
      <c r="B31" s="367" t="s">
        <v>4014</v>
      </c>
      <c r="C31" s="368" t="str">
        <f>IF(COUNTIF(C32:C34,"ERREUR + VALEUR MANQUANTE + VALEUR NON CONFORME")&gt;0,"ERREUR + VALEUR MANQUANTE + VALEUR NON CONFORME",
IF(COUNTIF(C32:C34,"ERREUR + VALEUR NON CONFORME")&gt;0,"ERREUR + VALEUR NON CONFORME",
IF(COUNTIF(C32:C34,"ERREUR + VALEUR MANQUANTE")&gt;0,"ERREUR + VALEUR MANQUANTE",
IF(COUNTIF(C32:C34,"ERREUR")&gt;0,"ERREUR",
IF(COUNTIF(C32:C34,"VALEUR MANQUANTE + VALEUR NON CONFORME")&gt;0,"VALEUR MANQUANTE + VALEUR NON CONFORME",
IF(COUNTIF(C32:C34,"VALEUR NON CONFORME")&gt;0,"VALEUR NON CONFORME",
IF(COUNTIF(C32:C34,"VALEUR MANQUANTE")&gt;0,"VALEUR MANQUANTE",IF(COUNTIF(C32:C34,"OK")=ROWS(C32:C34),"OK",
IF(COUNTIF(C32:C34,"-")=ROWS(C32:C34),"-",
"OK")))))))))</f>
        <v>-</v>
      </c>
    </row>
    <row r="32" spans="2:3" x14ac:dyDescent="0.35">
      <c r="B32" s="367" t="s">
        <v>4015</v>
      </c>
      <c r="C32" s="368" t="str">
        <f>IF(
AND(
COUNTIF('Informations environnementales'!H182:I183,"VALEUR MANQUANTE")&gt;0,
COUNTIF('Informations environnementales'!H182:I183,"VALEUR NON CONFORME")=0,
COUNTIF('Informations environnementales'!H182:I183,"OK")&gt;=0
),
"VALEUR MANQUANTE",
IF(
AND(
COUNTIF('Informations environnementales'!H182:I183,"VALEUR NON CONFORME")&gt;0,
COUNTIF('Informations environnementales'!H182:I183,"VALEUR MANQUANTE")=0,
COUNTIF('Informations environnementales'!H182:I183,"OK")&gt;=0
),
"VALEUR NON CONFORME",
IF(
AND(
COUNTIF('Informations environnementales'!H182:I183,"VALEUR NON CONFORME")&gt;0,
COUNTIF('Informations environnementales'!H182:I183,"VALEUR MANQUANTE")&gt;0,
COUNTIF('Informations environnementales'!H182:I183,"OK")&gt;=0
),
"VALEUR MANQUANTE + VALEUR NON CONFORME",
IF(
AND(
COUNTIF('Informations environnementales'!H182:I183,"VALEUR NON CONFORME")=0,
COUNTIF('Informations environnementales'!H182:I183,"VALEUR MANQUANTE")=0,
COUNTIF('Informations environnementales'!H182:I183,"OK")&gt;0
),
"OK",
"-"
)
)
))</f>
        <v>-</v>
      </c>
    </row>
    <row r="33" spans="2:3" x14ac:dyDescent="0.35">
      <c r="B33" s="367" t="s">
        <v>4016</v>
      </c>
      <c r="C33" s="368" t="str">
        <f>IF(
    AND(
        COUNTIF('Informations environnementales'!M189:M204,"ERREUR")&gt;0,
        COUNTIF('Informations environnementales'!M189:M204,"VALEUR MANQUANTE")&gt;0,
        COUNTIF('Informations environnementales'!M189:M204,"VALEUR NON CONFORME")&gt;0
    ),
    "ERREUR + VALEUR MANQUANTE + VALEUR NON CONFORME",
IF(
    AND(
        COUNTIF('Informations environnementales'!M189:M204,"ERREUR")&gt;0,
        COUNTIF('Informations environnementales'!M189:M204,"VALEUR NON CONFORME")&gt;0,
        COUNTIF('Informations environnementales'!M189:M204,"VALEUR MANQUANTE")=0
    ),
    "ERREUR + VALEUR NON CONFORME",
IF(
    AND(
        COUNTIF('Informations environnementales'!M189:M204,"ERREUR")&gt;0,
        COUNTIF('Informations environnementales'!M189:M204,"VALEUR MANQUANTE")&gt;0,
        COUNTIF('Informations environnementales'!M189:M204,"VALEUR NON CONFORME")=0
    ),
    "ERREUR + VALEUR MANQUANTE",
IF(
    AND(
        COUNTIF('Informations environnementales'!M189:M204,"VALEUR MANQUANTE")&gt;0,
        COUNTIF('Informations environnementales'!M189:M204,"VALEUR NON CONFORME")&gt;0,
        COUNTIF('Informations environnementales'!M189:M204,"ERREUR")=0
    ),
    "VALEUR MANQUANTE + VALEUR NON CONFORME",
IF(
    AND(
        COUNTIF('Informations environnementales'!M189:M204,"ERREUR")&gt;0,
        COUNTIF('Informations environnementales'!M189:M204,"VALEUR MANQUANTE")=0,
        COUNTIF('Informations environnementales'!M189:M204,"VALEUR NON CONFORME")=0
    ),
    "ERREUR",
IF(
    AND(
        COUNTIF('Informations environnementales'!M189:M204,"VALEUR MANQUANTE")&gt;0,
        COUNTIF('Informations environnementales'!M189:M204,"ERREUR")=0,
        COUNTIF('Informations environnementales'!M189:M204,"VALEUR NON CONFORME")=0
    ),
    "VALEUR MANQUANTE",
IF(
    AND(
        COUNTIF('Informations environnementales'!M189:M204,"VALEUR NON CONFORME")&gt;0,
        COUNTIF('Informations environnementales'!M189:M204,"ERREUR")=0,
        COUNTIF('Informations environnementales'!M189:M204,"VALEUR MANQUANTE")=0
    ),
    "VALEUR NON CONFORME",
IF(
    AND(
        COUNTIF('Informations environnementales'!M189:M204,"ERREUR")=0,
        COUNTIF('Informations environnementales'!M189:M204,"VALEUR MANQUANTE")=0,
        COUNTIF('Informations environnementales'!M189:M204,"VALEUR NON CONFORME")=0,
        COUNTIF('Informations environnementales'!M189:M204,"OK")&gt;0
    ),
    "OK",
"-"
))))))))</f>
        <v>-</v>
      </c>
    </row>
    <row r="34" spans="2:3" x14ac:dyDescent="0.35">
      <c r="B34" s="367" t="s">
        <v>4017</v>
      </c>
      <c r="C34" s="368" t="str">
        <f>IF(COUNTIF('Informations environnementales'!K216:K230, "VALEUR MANQUANTE") &gt; 0, "VALEUR MANQUANTE", IF(COUNTIF('Informations environnementales'!K216:K230, "OK") &gt; 0, "OK", "-"))</f>
        <v>-</v>
      </c>
    </row>
    <row r="35" spans="2:3" x14ac:dyDescent="0.35">
      <c r="B35" s="374" t="s">
        <v>4018</v>
      </c>
      <c r="C35" s="366"/>
    </row>
    <row r="36" spans="2:3" x14ac:dyDescent="0.35">
      <c r="B36" s="375" t="s">
        <v>4019</v>
      </c>
      <c r="C36" s="368" t="str">
        <f>IF(COUNTIF(C37:C40,"ERREUR + VALEUR MANQUANTE + VALEUR NON CONFORME")&gt;0,"ERREUR + VALEUR MANQUANTE + VALEUR NON CONFORME",
IF(COUNTIF(C37:C40,"ERREUR + VALEUR NON CONFORME")&gt;0,"ERREUR + VALEUR NON CONFORME",
IF(COUNTIF(C37:C40,"ERREUR + VALEUR MANQUANTE")&gt;0,"ERREUR + VALEUR MANQUANTE",
IF(COUNTIF(C37:C40,"ERREUR")&gt;0,"ERREUR",
IF(COUNTIF(C37:C40,"VALEUR MANQUANTE + VALEUR NON CONFORME")&gt;0,"VALEUR MANQUANTE + VALEUR NON CONFORME",
IF(COUNTIF(C37:C40,"VALEUR NON CONFORME")&gt;0,"VALEUR NON CONFORME",
IF(COUNTIF(C37:C40,"VALEUR MANQUANTE")&gt;0,"VALEUR MANQUANTE",IF(COUNTIF(C37:C40,"OK")=ROWS(C37:C40),"OK",
IF(COUNTIF(C37:C40,"-")=ROWS(C37:C40),"-",
"OK")))))))))</f>
        <v>-</v>
      </c>
    </row>
    <row r="37" spans="2:3" x14ac:dyDescent="0.35">
      <c r="B37" s="367" t="s">
        <v>4020</v>
      </c>
      <c r="C37" s="368" t="str">
        <f>IF(COUNTIF('Informations sociales'!H10, "VALEUR MANQUANTE") &gt; 0, "VALEUR MANQUANTE", IF(COUNTIF('Informations sociales'!H10, "OK") &gt; 0, "OK", "-"))</f>
        <v>-</v>
      </c>
    </row>
    <row r="38" spans="2:3" x14ac:dyDescent="0.35">
      <c r="B38" s="367" t="s">
        <v>4021</v>
      </c>
      <c r="C38" s="368" t="str">
        <f>IF(COUNTIF('Informations sociales'!H18:H21, "VALEUR MANQUANTE") &gt; 0, "VALEUR MANQUANTE", IF(COUNTIF('Informations sociales'!H18:H21, "OK") &gt; 0, "OK", "-"))</f>
        <v>-</v>
      </c>
    </row>
    <row r="39" spans="2:3" x14ac:dyDescent="0.35">
      <c r="B39" s="367" t="s">
        <v>4173</v>
      </c>
      <c r="C39" s="368" t="str">
        <f>IF(COUNTIF('Informations sociales'!I28:I37, "VALEUR MANQUANTE") &gt; 0, "VALEUR MANQUANTE", IF(COUNTIF('Informations sociales'!I28:I37, "OK") &gt; 0, "OK", "-"))</f>
        <v>-</v>
      </c>
    </row>
    <row r="40" spans="2:3" x14ac:dyDescent="0.35">
      <c r="B40" s="367" t="s">
        <v>4022</v>
      </c>
      <c r="C40" s="368" t="str">
        <f>IF(COUNTIF('Informations sociales'!I43:I45, "VALEUR MANQUANTE") &gt; 0, "VALEUR MANQUANTE", IF(COUNTIF('Informations sociales'!I43:I45, "OK") &gt; 0, "OK", "-"))</f>
        <v>-</v>
      </c>
    </row>
    <row r="41" spans="2:3" x14ac:dyDescent="0.35">
      <c r="B41" s="367" t="s">
        <v>4023</v>
      </c>
      <c r="C41" s="368" t="str">
        <f>IF(COUNTIF('Informations sociales'!I49:I53, "VALEUR MANQUANTE") &gt; 0, "VALEUR MANQUANTE", IF(COUNTIF('Informations sociales'!I49:I53, "OK") &gt; 0, "OK", "-"))</f>
        <v>-</v>
      </c>
    </row>
    <row r="42" spans="2:3" x14ac:dyDescent="0.35">
      <c r="B42" s="369" t="s">
        <v>4024</v>
      </c>
      <c r="C42" s="368" t="str">
        <f>IF(COUNTIF('Informations sociales'!I66:I69, "VALEUR MANQUANTE") &gt; 0, "VALEUR MANQUANTE", IF(COUNTIF('Informations sociales'!I66:I69, "OK") &gt; 0, "OK", "-"))</f>
        <v>-</v>
      </c>
    </row>
    <row r="43" spans="2:3" x14ac:dyDescent="0.35">
      <c r="B43" s="374" t="s">
        <v>4025</v>
      </c>
      <c r="C43" s="366"/>
    </row>
    <row r="44" spans="2:3" x14ac:dyDescent="0.35">
      <c r="B44" s="369" t="s">
        <v>4026</v>
      </c>
      <c r="C44" s="368" t="str">
        <f>IF(COUNTIF('Informations de gouvernance'!I6:I7, "VALEUR MANQUANTE") &gt; 0, "VALEUR MANQUANTE", IF(COUNTIF('Informations de gouvernance'!I6:I7, "OK") &gt; 0, "OK", "-"))</f>
        <v>-</v>
      </c>
    </row>
    <row r="45" spans="2:3" ht="15.5" x14ac:dyDescent="0.35">
      <c r="B45" s="370" t="s">
        <v>3987</v>
      </c>
      <c r="C45" s="371"/>
    </row>
    <row r="46" spans="2:3" x14ac:dyDescent="0.35">
      <c r="B46" s="365" t="s">
        <v>3991</v>
      </c>
      <c r="C46" s="366"/>
    </row>
    <row r="47" spans="2:3" x14ac:dyDescent="0.35">
      <c r="B47" s="373" t="s">
        <v>4027</v>
      </c>
      <c r="C47" s="368" t="str">
        <f>IF(COUNTIF('Informations générales'!H154:H160, "VALEUR MANQUANTE") &gt; 0, "VALEUR MANQUANTE", IF(COUNTIF('Informations générales'!H154:H160, "OK") &gt; 0, "OK", "-"))</f>
        <v>-</v>
      </c>
    </row>
    <row r="48" spans="2:3" ht="29" x14ac:dyDescent="0.35">
      <c r="B48" s="373" t="s">
        <v>4028</v>
      </c>
      <c r="C48" s="368" t="str">
        <f>IF(COUNTIF('Informations générales'!H148:H150, "VALEUR MANQUANTE") &gt; 0, "VALEUR MANQUANTE", IF(COUNTIF('Informations générales'!H148:H150, "OK") &gt; 0, "OK", "-"))</f>
        <v>-</v>
      </c>
    </row>
    <row r="49" spans="2:3" x14ac:dyDescent="0.35">
      <c r="B49" s="374" t="s">
        <v>4000</v>
      </c>
      <c r="C49" s="366"/>
    </row>
    <row r="50" spans="2:3" x14ac:dyDescent="0.35">
      <c r="B50" s="375" t="s">
        <v>4029</v>
      </c>
      <c r="C50" s="368" t="str">
        <f>IF(COUNTIF(C51:C53, "ERREUR + VALEUR MANQUANTE + VALEUR NON CONFORME") &gt; 0, "ERREUR + VALEUR MANQUANTE + VALEUR NON CONFORME",
IF(COUNTIF(C51:C53, "ERREUR + VALEUR NON CONFORME") &gt; 0, "ERREUR + VALEUR NON CONFORME",
IF(COUNTIF(C51:C53, "ERREUR + VALEUR MANQUANTE") &gt; 0, "ERREUR + VALEUR MANQUANTE",
IF(COUNTIF(C51:C53, "ERREUR") &gt; 0, "ERREUR",
IF(COUNTIF(C51:C53, "VALEUR MANQUANTE + VALEUR NON CONFORME") &gt; 0, "VALEUR MANQUANTE + VALEUR NON CONFORME",
IF(COUNTIF(C51:C53, "VALEUR NON CONFORME") &gt; 0, "VALEUR NON CONFORME",
IF(COUNTIF(C51:C53, "VALEUR MANQUANTE") &gt; 0, "VALEUR MANQUANTE",
IF(AND(
       COUNTIFS(C51:C53, "&lt;&gt;OK", C51:C53, "&lt;&gt;-") = 0,
       COUNTIF(C51:C53, "OK") &gt; 0
   ), "OK",
IF(COUNTIF(C51:C53, "-") = ROWS(C51:C53), "-",
"")))))))))</f>
        <v>-</v>
      </c>
    </row>
    <row r="51" spans="2:3" ht="16" customHeight="1" x14ac:dyDescent="0.35">
      <c r="B51" s="367" t="s">
        <v>4798</v>
      </c>
      <c r="C51" s="368" t="str">
        <f>IF(AND('Informations générales'!E32="Option A (module de base uniquement)",
        COUNTA('Informations environnementales'!G21:G24)=0),
   "-",
IF(COUNTIF('Informations environnementales'!L52, "VALEUR MANQUANTE") &gt; 0,
   "VALEUR MANQUANTE",
IF(COUNTIF('Informations environnementales'!L52, "OK") &gt; 0,
   "OK",
"-")))</f>
        <v>-</v>
      </c>
    </row>
    <row r="52" spans="2:3" x14ac:dyDescent="0.35">
      <c r="B52" s="367" t="s">
        <v>4799</v>
      </c>
      <c r="C52" s="368" t="str">
        <f>IF(COUNTIF('Informations environnementales'!L52, "VALEUR MANQUANTE") &gt; 0, "VALEUR MANQUANTE", IF(COUNTIF('Informations environnementales'!L52, "OK") &gt; 0, "OK", "-"))</f>
        <v>-</v>
      </c>
    </row>
    <row r="53" spans="2:3" x14ac:dyDescent="0.35">
      <c r="B53" s="367" t="s">
        <v>4800</v>
      </c>
      <c r="C53" s="368" t="str">
        <f>IF(
AND(
COUNTIF('Informations environnementales'!L57:L59,"VALEUR MANQUANTE")&gt;0,
COUNTIF('Informations environnementales'!L57:L59,"ERREUR")=0,
COUNTIF('Informations environnementales'!L57:L59,"OK")&gt;=0
),
"VALEUR MANQUANTE",
IF(
AND(
COUNTIF('Informations environnementales'!L57:L59,"ERREUR")&gt;0,
COUNTIF('Informations environnementales'!L57:L59,"VALEUR MANQUANTE")=0,
COUNTIF('Informations environnementales'!L57:L59,"OK")&gt;=0
),
"ERREUR",
IF(
AND(
COUNTIF('Informations environnementales'!L57:L59,"ERREUR")&gt;0,
COUNTIF('Informations environnementales'!L57:L59,"VALEUR MANQUANTE")&gt;0,
COUNTIF('Informations environnementales'!L57:L59,"OK")&gt;=0
),
"ERREUR + VALEUR MANQUANTE",
IF(
AND(
COUNTIF('Informations environnementales'!L57:L59,"ERREUR")=0,
COUNTIF('Informations environnementales'!L57:L59,"VALEUR MANQUANTE")=0,
COUNTIF('Informations environnementales'!L57:L59,"OK")&gt;0
),
"OK",
"-"
)
)
))</f>
        <v>-</v>
      </c>
    </row>
    <row r="54" spans="2:3" x14ac:dyDescent="0.35">
      <c r="B54" s="367" t="s">
        <v>4030</v>
      </c>
      <c r="C54" s="368" t="str">
        <f>IF(COUNTIF('Informations environnementales'!L236:L240, "VALEUR MANQUANTE") &gt; 0, "VALEUR MANQUANTE", IF(COUNTIF('Informations environnementales'!L236:L240, "OK") &gt; 0, "OK", "-"))</f>
        <v>-</v>
      </c>
    </row>
    <row r="55" spans="2:3" x14ac:dyDescent="0.35">
      <c r="B55" s="374" t="s">
        <v>4018</v>
      </c>
      <c r="C55" s="366"/>
    </row>
    <row r="56" spans="2:3" x14ac:dyDescent="0.35">
      <c r="B56" s="367" t="s">
        <v>4031</v>
      </c>
      <c r="C56" s="368" t="str">
        <f>IF(COUNTIF('Informations sociales'!I74:I78,"OK")&gt;0,"OK","-")</f>
        <v>-</v>
      </c>
    </row>
    <row r="57" spans="2:3" ht="29" x14ac:dyDescent="0.35">
      <c r="B57" s="367" t="s">
        <v>4765</v>
      </c>
      <c r="C57" s="368" t="str">
        <f>IF(
AND(
COUNTIF('Informations sociales'!I81:I90,"VALEUR MANQUANTE")&gt;0,
COUNTIF('Informations sociales'!I81:I90,"VALEUR NON CONFORME")=0,
COUNTIF('Informations sociales'!I81:I90,"OK")&gt;=0
),
"VALEUR MANQUANTE",
IF(
AND(
COUNTIF('Informations sociales'!I81:I90,"VALEUR NON CONFORME")&gt;0,
COUNTIF('Informations sociales'!I81:I90,"VALEUR MANQUANTE")=0,
COUNTIF('Informations sociales'!I81:I90,"OK")&gt;=0
),
"VALEUR NON CONFORME",
IF(
AND(
COUNTIF('Informations sociales'!I81:I90,"VALEUR NON CONFORME")&gt;0,
COUNTIF('Informations sociales'!I81:I90,"VALEUR MANQUANTE")&gt;0,
COUNTIF('Informations sociales'!I81:I90,"OK")&gt;=0
),
"VALEUR MANQUANTE + VALEUR NON CONFORME",
IF(
AND(
COUNTIF('Informations sociales'!I81:I90,"VALEUR NON CONFORME")=0,
COUNTIF('Informations sociales'!I81:I90,"VALEUR MANQUANTE")=0,
COUNTIF('Informations sociales'!I81:I90,"OK")&gt;0
),
"OK",
"-"
)
)
))</f>
        <v>-</v>
      </c>
    </row>
    <row r="58" spans="2:3" x14ac:dyDescent="0.35">
      <c r="B58" s="369" t="s">
        <v>4032</v>
      </c>
      <c r="C58" s="377" t="str">
        <f>IF(
AND(
COUNTIF('Informations sociales'!I93:I103,"VALEUR MANQUANTE")&gt;0,
COUNTIF('Informations sociales'!I93:I103,"VALEUR NON CONFORME")=0,
COUNTIF('Informations sociales'!I93:I103,"OK")&gt;=0
),
"VALEUR MANQUANTE",
IF(
AND(
COUNTIF('Informations sociales'!I93:I103,"VALEUR NON CONFORME")&gt;0,
COUNTIF('Informations sociales'!I93:I103,"VALEUR MANQUANTE")=0,
COUNTIF('Informations sociales'!I93:I103,"OK")&gt;=0
),
"VALEUR NON CONFORME",
IF(
AND(
COUNTIF('Informations sociales'!I93:I103,"VALEUR NON CONFORME")&gt;0,
COUNTIF('Informations sociales'!I93:I103,"VALEUR MANQUANTE")&gt;0,
COUNTIF('Informations sociales'!I93:I103,"OK")&gt;=0
),
"VALEUR MANQUANTE + VALEUR NON CONFORME",
IF(
AND(
COUNTIF('Informations sociales'!I93:I103,"VALEUR NON CONFORME")=0,
COUNTIF('Informations sociales'!I93:I103,"VALEUR MANQUANTE")=0,
COUNTIF('Informations sociales'!I93:I103,"OK")&gt;0
),
"OK",
"-"
)
)
))</f>
        <v>-</v>
      </c>
    </row>
    <row r="59" spans="2:3" x14ac:dyDescent="0.35">
      <c r="B59" s="378" t="s">
        <v>4025</v>
      </c>
      <c r="C59" s="371"/>
    </row>
    <row r="60" spans="2:3" x14ac:dyDescent="0.35">
      <c r="B60" s="372" t="s">
        <v>4033</v>
      </c>
      <c r="C60" s="368" t="str">
        <f>IF(COUNTIF(C61:C62,"ERREUR + VALEUR MANQUANTE + VALEUR NON CONFORME")&gt;0,"ERREUR + VALEUR MANQUANTE + VALEUR NON CONFORME",
IF(COUNTIF(C61:C62,"ERREUR + VALEUR NON CONFORME")&gt;0,"ERREUR + VALEUR NON CONFORME",
IF(COUNTIF(C61:C62,"ERREUR + VALEUR MANQUANTE")&gt;0,"ERREUR + VALEUR MANQUANTE",
IF(COUNTIF(C61:C62,"ERREUR")&gt;0,"ERREUR",
IF(COUNTIF(C61:C62,"VALEUR MANQUANTE + VALEUR NON CONFORME")&gt;0,"VALEUR MANQUANTE + VALEUR NON CONFORME",
IF(COUNTIF(C61:C62,"VALEUR NON CONFORME")&gt;0,"VALEUR NON CONFORME",
IF(COUNTIF(C61:C62,"VALEUR MANQUANTE")&gt;0,"VALEUR MANQUANTE",IF(COUNTIF(C61:C62,"OK")=ROWS(C61:C62),"OK",
IF(COUNTIF(C61:C62,"-")=ROWS(C61:C62),"-",
"OK")))))))))</f>
        <v>-</v>
      </c>
    </row>
    <row r="61" spans="2:3" x14ac:dyDescent="0.35">
      <c r="B61" s="373" t="s">
        <v>4034</v>
      </c>
      <c r="C61" s="368" t="str">
        <f>IF(COUNTIF('Informations de gouvernance'!I12:I18, "VALEUR NON CONFORME") &gt; 0, "VALEUR NON CONFORME", IF(COUNTIF('Informations de gouvernance'!I12:I18, "OK") &gt; 0, "OK", "-"))</f>
        <v>-</v>
      </c>
    </row>
    <row r="62" spans="2:3" x14ac:dyDescent="0.35">
      <c r="B62" s="373" t="s">
        <v>4035</v>
      </c>
      <c r="C62" s="368" t="str">
        <f>IF(COUNTIF('Informations de gouvernance'!I22:I26, "VALEUR MANQUANTE") &gt; 0, "VALEUR MANQUANTE", IF(COUNTIF('Informations de gouvernance'!I22:I26, "OK") &gt; 0, "OK", "-"))</f>
        <v>-</v>
      </c>
    </row>
    <row r="63" spans="2:3" x14ac:dyDescent="0.35">
      <c r="B63" s="379" t="s">
        <v>4036</v>
      </c>
      <c r="C63" s="377" t="str">
        <f>IF(COUNTIF('Informations de gouvernance'!I31:I32, "VALEUR MANQUANTE") &gt; 0, "VALEUR MANQUANTE", IF(COUNTIF('Informations de gouvernance'!I31:I32, "OK") &gt; 0, "OK", "-"))</f>
        <v>-</v>
      </c>
    </row>
    <row r="64" spans="2:3" x14ac:dyDescent="0.35">
      <c r="B64" s="380" t="s">
        <v>4037</v>
      </c>
      <c r="C64" s="371"/>
    </row>
    <row r="65" spans="2:3" x14ac:dyDescent="0.35">
      <c r="B65" s="373" t="s">
        <v>4038</v>
      </c>
      <c r="C65" s="377" t="str">
        <f>IF('Informations générales'!I164="OK", "OK", "")</f>
        <v/>
      </c>
    </row>
    <row r="66" spans="2:3" x14ac:dyDescent="0.35">
      <c r="B66" s="369" t="s">
        <v>4039</v>
      </c>
      <c r="C66" s="377" t="str">
        <f>IF('Informations environnementales'!M244="OK", "OK", "")</f>
        <v/>
      </c>
    </row>
    <row r="67" spans="2:3" x14ac:dyDescent="0.35">
      <c r="B67" s="369" t="s">
        <v>4040</v>
      </c>
      <c r="C67" s="377" t="str">
        <f>IF('Informations sociales'!I109="OK", "OK", "")</f>
        <v/>
      </c>
    </row>
    <row r="68" spans="2:3" ht="15" thickBot="1" x14ac:dyDescent="0.4">
      <c r="B68" s="381" t="s">
        <v>4041</v>
      </c>
      <c r="C68" s="382" t="str">
        <f>IF('Informations de gouvernance'!I38="OK", "OK", "")</f>
        <v/>
      </c>
    </row>
  </sheetData>
  <sheetProtection formatColumns="0" formatRows="0"/>
  <conditionalFormatting sqref="B3">
    <cfRule type="expression" dxfId="386" priority="371">
      <formula>B$44="INCOMPLETE"</formula>
    </cfRule>
    <cfRule type="expression" dxfId="385" priority="372">
      <formula>B$44="COMPLETE"</formula>
    </cfRule>
  </conditionalFormatting>
  <conditionalFormatting sqref="C2">
    <cfRule type="expression" dxfId="384" priority="12">
      <formula>C$58="INCOMPLETE"</formula>
    </cfRule>
    <cfRule type="expression" dxfId="383" priority="13">
      <formula>C$58="COMPLETE"</formula>
    </cfRule>
  </conditionalFormatting>
  <conditionalFormatting sqref="C3">
    <cfRule type="expression" dxfId="382" priority="10">
      <formula>$C$3="INCOMPLETE"</formula>
    </cfRule>
    <cfRule type="expression" dxfId="381" priority="11">
      <formula>$C$3="COMPLETE"</formula>
    </cfRule>
  </conditionalFormatting>
  <conditionalFormatting sqref="C6:C8 C10:C45 C47:C68">
    <cfRule type="expression" dxfId="380" priority="1">
      <formula>$C6="VALUE INCONSISTENCY"</formula>
    </cfRule>
    <cfRule type="expression" dxfId="379" priority="2">
      <formula>$C6="INVALID URL"</formula>
    </cfRule>
    <cfRule type="expression" dxfId="378" priority="3">
      <formula>$C6="ERROR + MISSING VALUE + VALUE INCONSISTENCY"</formula>
    </cfRule>
    <cfRule type="expression" dxfId="377" priority="4">
      <formula>$C6="ERROR + VALUE INCONSISTENCY"</formula>
    </cfRule>
    <cfRule type="expression" dxfId="376" priority="5">
      <formula>$C6="ERROR + MISSING VALUE"</formula>
    </cfRule>
    <cfRule type="expression" dxfId="375" priority="6">
      <formula>$C6="MISSING VALUE + VALUE INCONSISTENCY"</formula>
    </cfRule>
    <cfRule type="expression" dxfId="374" priority="7">
      <formula>$C6="MISSING VALUE"</formula>
    </cfRule>
    <cfRule type="expression" dxfId="373" priority="8">
      <formula>$C6="ERROR"</formula>
    </cfRule>
    <cfRule type="expression" dxfId="372" priority="9">
      <formula>$C6="OK"</formula>
    </cfRule>
  </conditionalFormatting>
  <hyperlinks>
    <hyperlink ref="B6" location="template_information_on_the_report_necessary_for_XBRL" display="· Information on the report necessary for  XBRL" xr:uid="{25A267B9-423F-42B5-B3B3-D5E1CEF1CCD2}"/>
    <hyperlink ref="B5" location="'General Information'!A1" display="General Information" xr:uid="{3BFB2E8E-B9D3-4E7A-BF18-C16AACDE335C}"/>
    <hyperlink ref="B7" location="template_information_on_previous_reporting_period" display="· Information on previous reporting period" xr:uid="{A7B7970B-B829-4E06-98AB-137CDC76DA3F}"/>
    <hyperlink ref="B10" location="template_b1_basis_for_preparation_and_other_undertakings_general_information" display="· B1 - Basis for Preparation" xr:uid="{D3B8ECC2-14C0-4EF6-8D88-0E701043E936}"/>
    <hyperlink ref="B11" location="template_b1_basis_for_preparation_and_other_undertakings_general_information" display="            Basis for Preparation and other undertaking's general information" xr:uid="{DCB9EB33-29ED-498C-82CC-F099A7297C4E}"/>
    <hyperlink ref="B12" location="template_b1_list_of_subsidiaries" display="             List of subsidiaries" xr:uid="{9EAA5EF6-131F-42F1-9145-55B580C93404}"/>
    <hyperlink ref="B13" location="template_b1_disclosure_of_sustainability_related_certifications_or_labels" display="             Informations sur les certifications ou labels en matière de durabilité" xr:uid="{4D19F8C5-01A7-4A79-B8B9-BD32706D0E62}"/>
    <hyperlink ref="B14" location="template_b1_list_of_sites" display="             List of site(s)" xr:uid="{D243425C-ED64-484D-A378-BCE59FEA1CCA}"/>
    <hyperlink ref="B15" location="template_b2_practices_policies_and_future_initiatives_for_transitioning_towards_a_more_sustainable_economy" display="· B2 - Practices, policies and future initiatives for transitioning towards a more sustainable economy" xr:uid="{2BEF70DB-E383-4335-98C7-0AB1A331EF1C}"/>
    <hyperlink ref="B16" location="template_b2_practices_policies_and_future_initiatives_for_transitioning_towards_a_more_sustainable_economy" display="             Practices, policies and future initiatives for transitioning towards a more sustainable economy" xr:uid="{7FBE981F-5786-4A7C-A533-0218F6C159B3}"/>
    <hyperlink ref="B17" location="template_b2_cooperative_specific_disclosures" display="             Cooperative specific disclosures" xr:uid="{DD0201D3-4CEF-4426-A12D-90862DD79EFB}"/>
    <hyperlink ref="B47" location="template_c1_strategy_business_model_and_sustainability" display="· C1 - Strategy: Business Model and Sustainability – Related Initiatives" xr:uid="{A970C105-76A8-40CF-A869-573C4F419725}"/>
    <hyperlink ref="B48" location="template_c2_description_of_practices_policies_and_future_initiatives_for_transitioning_towards_a_more_sustainable_economy" display="· C2 - Description of practices, policies and future initiatives for transitioning towards a more sustainable economy" xr:uid="{4D6F90F8-3C8A-4FDC-B1E6-ED7043476E17}"/>
    <hyperlink ref="B65" location="template_disclosure_of_any_other_general_and_or_entity_specific_information_on_the_reporting_period" display="· Disclosure of any other general and/or entity specific information on the reporting period" xr:uid="{737F7CD2-A98D-46EC-85E3-472AB0E79697}"/>
    <hyperlink ref="B49" location="'Environmental Disclosures'!A1" display="Environmental Disclosures" xr:uid="{10462CBF-ABB9-48E1-BEB6-C8118F1D11E7}"/>
    <hyperlink ref="B19" location="template_b3_total_energy_consumption_in_MWh" display="· B3 - Energy and greenhouse gas emissions" xr:uid="{08781854-D699-4BBB-904F-9F167F4BC7F5}"/>
    <hyperlink ref="B20" location="template_b3_total_energy_consumption_in_MWh" display="              Total Energy Consumption (in MWh)" xr:uid="{5B575D7E-E621-4CB5-AA93-723609F4A6A2}"/>
    <hyperlink ref="B21" location="template_b3_breakdown_of_energy_consumption_in_MWh" display="              Breakdown of energy consumption (in MWh)" xr:uid="{BE17BD15-69F9-4526-83D2-A71BB8432726}"/>
    <hyperlink ref="B22" location="template_b3_estimated_greenhouse_gas_emissions_considering_the_GHG_protocol_version_2004_in_tCO2e" display="              Estimated Greenhouse Gas Emissions considering the GHG Protocol Version 2004 (in tCO2e)" xr:uid="{D4732330-7C7D-4BC6-82F9-4BAE89A1C083}"/>
    <hyperlink ref="B23" location="template_b3_greenhouse_gas_emission_intensity_per_turnover" display="              Greenhouse gas emission intensity per turnover" xr:uid="{F20C845F-7C19-41D5-A6FD-766FD2E21E04}"/>
    <hyperlink ref="B24" location="template_b4_pollution_of_air_water_and_soil" display="· B4 - Pollution of air, water and soil" xr:uid="{A24D3F48-4D25-4A4D-A316-26A850E78206}"/>
    <hyperlink ref="B25" location="template_B5_sites_in_biodiversity_sensitive_areas" display="· B5 - Biodiversity" xr:uid="{B9BF6D98-8A08-4FA1-B30B-FFEC7C32F3DA}"/>
    <hyperlink ref="B26" location="template_B5_sites_in_biodiversity_sensitive_areas" display="             Sites in biodiversity sensitive areas" xr:uid="{26124F05-E905-448A-9BA5-5DB7BB12E703}"/>
    <hyperlink ref="B27" location="template_b5_biodiversity_land_use" display="             Biodiversity - Land-use" xr:uid="{4A12F42D-8678-45FB-A4B6-98BAF48740A7}"/>
    <hyperlink ref="B28" location="template_b6_water_withdrawal" display="· B6 - Water" xr:uid="{30924859-42AD-4793-BB93-4D15632E75FB}"/>
    <hyperlink ref="B29" location="template_b6_water_withdrawal" display="              Water Withdrawal" xr:uid="{15F35FEF-ED86-4242-BBB3-A19B3AE7F39B}"/>
    <hyperlink ref="B30" location="template_b6_water_consumption" display="              Water Consumption" xr:uid="{1A5C0D0C-A5AD-4D6D-8842-164CB4995CF0}"/>
    <hyperlink ref="B31" location="template_b7_description_of_circular_economy_principles" display="· B7 - Resource use, circular economy and waste management" xr:uid="{E73F13C7-0475-49C2-8004-4B82FA915BBF}"/>
    <hyperlink ref="B32" location="template_b7_description_of_circular_economy_principles" display="               Description of circular economy principles" xr:uid="{D81C731F-C208-41C3-A3C2-15BDAD9FB28C}"/>
    <hyperlink ref="B33" location="template_b7_waste_generated" display="               Waste generated" xr:uid="{4C54828D-61E5-4A13-82DB-6726CB12D26D}"/>
    <hyperlink ref="B34" location="template_b7_annual_mass_flow_of_relevant_materials_used" display="               Annual mass-flow of relevant materials used" xr:uid="{C74D5ECF-F326-4ABD-ACF2-78AC53914DE4}"/>
    <hyperlink ref="B50" location="template_c3_GHG_reduction_targets_in_tC02e" display="· C3 - GHG reduction targets and climate transition" xr:uid="{848C6734-27F4-49E8-9FCC-08706070E8A6}"/>
    <hyperlink ref="B52" location="template_c3_disclosure_of_list_of_main_actions_the_entity_seeks_in_order_to_achieve_its_targets" display="              Liste des principales mesures mises en place par l'entreprise pour atteindre ses cibles" xr:uid="{7736370F-5B99-4C0B-90FC-4925E5CC7276}"/>
    <hyperlink ref="B53" location="template_c3_transition_plan_for_undertakings_operating_in_high_climate_impact_sectors" display="              Plan de transition pour les entreprises opérant dans des secteurs à fort impact climatique" xr:uid="{9B00468F-D916-42FC-9DB7-512FE564EB6B}"/>
    <hyperlink ref="B54" location="template_c4_climate_risks" display="· C4 - Climate risks" xr:uid="{9A4CE9A4-48DE-4DCC-AA6A-C83BB13ECA6E}"/>
    <hyperlink ref="B66" location="template_disclosure_of_any_other_environmental_and_or_entity_specific_enviromental_disclosures" display="· Disclosure of any other environmental and/or entity specific enviromental disclosures" xr:uid="{3B30C8FE-FF9E-4311-9E4E-4FDD869D911E}"/>
    <hyperlink ref="B55" location="'Social Disclosures'!A1" display="Social Disclosures" xr:uid="{664E23E3-4976-47A2-9233-8DBF4A2B0004}"/>
    <hyperlink ref="B36" location="template_b8_workforce_general_characteristics_type_of_contract" display="· B8 - Workforce - General characteristics" xr:uid="{319673CB-05CE-4E03-98D7-7EFA767A760B}"/>
    <hyperlink ref="B37" location="template_b8_workforce_general_characteristics_type_of_contract" display="              Type of contract" xr:uid="{EF6C1F60-CB03-481A-9593-49F09F25E273}"/>
    <hyperlink ref="B38" location="template_b8_workforce_general_characteristics_gender" display="              Gender" xr:uid="{553B08BC-0FC3-432D-B82C-D06226579BD6}"/>
    <hyperlink ref="B39" location="template_b8_workforce_general_characteristics_country_of_employment" display="              Country of employment" xr:uid="{33734E25-2845-4F90-BCB6-E86394EDCA24}"/>
    <hyperlink ref="B40" location="template_b8_workforce_general_characteristics_turnover_rate" display="              Turnover rate" xr:uid="{F6700308-E350-44BD-87E8-4DF952C410CB}"/>
    <hyperlink ref="B41" location="template_b9_workforce_health_and_safety" display="· B9 - Workforce – Health and safety" xr:uid="{A5F3F6AC-150A-4651-8667-6E55FFE385E3}"/>
    <hyperlink ref="B42" location="template_b10_workforce_remuneration_collective_bargaining_and_training" display="· B10 - Workforce – Remuneration, collective bargaining and training " xr:uid="{C3EDD6ED-F5ED-423B-BE89-F63385BBF4A9}"/>
    <hyperlink ref="B56" location="template_c5_additional_general_workforce_characteristics" display="· C5 - Additional (general) workforce characteristics" xr:uid="{12A6D13C-E762-49D9-B9D9-FF10B30E5074}"/>
    <hyperlink ref="B57" location="template_c6_additional_own_workforce_information_human_rights_policies_and_processes" display="· C6 - Additional own workforce information - Human rights policies and processes" xr:uid="{ADA01F7E-1E23-46D3-A6C5-180A4471A463}"/>
    <hyperlink ref="B58" location="template_c7_severe_negative_human_rights_incidents" display="· C7 - Severe negative human rights incidents" xr:uid="{94D3FF8D-39DA-47EF-8F8C-21118A7AC765}"/>
    <hyperlink ref="B67" location="template_disclosure_of_any_other_social_and_or_entity_specific_social_disclosures" display="· Disclosure of any other social and/or entity specific social disclosures" xr:uid="{C461AEC8-E547-4D3E-985E-464AE7DE0614}"/>
    <hyperlink ref="B59" location="'Governance Disclosures'!A1" display="Governance Disclosures" xr:uid="{DB065620-D288-425D-A3F6-B94563629CD2}"/>
    <hyperlink ref="B44" location="template_b11_convictions_and_fines_for_corruption_and_bribery" display="· B11 - Convictions and fines for corruption and bribery" xr:uid="{DCDB2FE8-D2A1-470C-AEE7-1A53DE3C6A56}"/>
    <hyperlink ref="B60" location="template_c8_revenues_from_certain_sectors" display="· C8 - Revenues from certain sectors and exclusion from EU reference benchmarks" xr:uid="{9A39A97B-59DF-4A64-9184-E8CE24890C97}"/>
    <hyperlink ref="B61" location="template_c8_revenues_from_certain_sectors" display="              Revenues from certain sectors" xr:uid="{C95EF8C3-FA9B-4CEE-8D33-44BBFD20DB8E}"/>
    <hyperlink ref="B62" location="template_c8_exclusion_from_EU_reference_benchmarks" display="              Exclusion from EU reference benchmarks" xr:uid="{686FE336-7658-4083-B1D8-2A0952B0A262}"/>
    <hyperlink ref="B63" location="template_c9_gender_diversity_ratio_in_the_governance_body" display="· C9 - Gender diversity ratio in the governance body" xr:uid="{8744655C-A8E1-41B4-9ACB-ED49B581199E}"/>
    <hyperlink ref="B68" location="template_disclosure_of_any_other_governance_and_or_entity_specific_governance_disclosures" display="· Disclosure of any other governance and/or entity specific governance disclosures" xr:uid="{A24B95B2-E94D-40C8-8CF7-1A8C1D3E88B4}"/>
    <hyperlink ref="B9" location="'General Information'!A1" display="General Information" xr:uid="{8E3A83E8-4322-4B9A-8B41-51DE5C1FB320}"/>
    <hyperlink ref="B46" location="'General Information'!A1" display="General Information" xr:uid="{8D1A7217-DD9F-4D14-8E62-DF0CE7521CD6}"/>
    <hyperlink ref="B35" location="'Social Disclosures'!A1" display="Social Disclosures" xr:uid="{5005ADE5-99EC-42B4-8AAE-6D7FF266EFE1}"/>
    <hyperlink ref="B43" location="'Governance Disclosures'!A1" display="Governance Disclosures" xr:uid="{3A78DB22-3150-4E53-A3E3-AF5505C487EE}"/>
    <hyperlink ref="B18" location="'Environmental Disclosures'!A1" display="Environmental Disclosures" xr:uid="{7718B422-B5A6-477E-8388-A9804BDB4D4F}"/>
    <hyperlink ref="B51" location="template_c3_GHG_reduction_targets_in_tC02e" display="             Cibles de réduction des émissions de GES (en tC02e)" xr:uid="{03F78659-15D3-426B-904F-EB997820F373}"/>
  </hyperlinks>
  <pageMargins left="0.7" right="0.7" top="0.75" bottom="0.75" header="0.3" footer="0.3"/>
  <pageSetup paperSize="9" orientation="portrait" horizontalDpi="4294967293" vertic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67E04-6DA5-4708-A51E-89E844EF3733}">
  <sheetPr codeName="Sheet2"/>
  <dimension ref="A1:Q164"/>
  <sheetViews>
    <sheetView showGridLines="0" zoomScale="70" zoomScaleNormal="70" workbookViewId="0">
      <selection activeCell="C3" sqref="C3:E60"/>
    </sheetView>
  </sheetViews>
  <sheetFormatPr baseColWidth="10" defaultColWidth="9" defaultRowHeight="14.5" outlineLevelRow="2" x14ac:dyDescent="0.35"/>
  <cols>
    <col min="1" max="1" width="11.54296875" customWidth="1"/>
    <col min="2" max="2" width="15.08984375" customWidth="1"/>
    <col min="3" max="3" width="54.81640625" customWidth="1"/>
    <col min="4" max="4" width="42.81640625" customWidth="1"/>
    <col min="5" max="5" width="41.26953125" customWidth="1"/>
    <col min="6" max="6" width="23.7265625" style="2" bestFit="1" customWidth="1"/>
    <col min="7" max="7" width="13.453125" bestFit="1" customWidth="1"/>
    <col min="8" max="8" width="91.7265625" customWidth="1"/>
    <col min="9" max="9" width="13.26953125" bestFit="1" customWidth="1"/>
    <col min="10" max="10" width="25.7265625" bestFit="1" customWidth="1"/>
    <col min="11" max="11" width="37.81640625" customWidth="1"/>
    <col min="12" max="12" width="17.26953125" customWidth="1"/>
    <col min="13" max="13" width="8.7265625" customWidth="1"/>
    <col min="14" max="14" width="24" customWidth="1"/>
    <col min="15" max="15" width="15.453125" customWidth="1"/>
    <col min="16" max="16" width="58" customWidth="1"/>
    <col min="17" max="17" width="34.453125" customWidth="1"/>
    <col min="18" max="18" width="25" customWidth="1"/>
  </cols>
  <sheetData>
    <row r="1" spans="1:11" ht="55" customHeight="1" thickBot="1" x14ac:dyDescent="0.4">
      <c r="A1" s="263" t="s">
        <v>4090</v>
      </c>
      <c r="B1" s="263" t="s">
        <v>4091</v>
      </c>
    </row>
    <row r="2" spans="1:11" ht="14.5" customHeight="1" x14ac:dyDescent="0.35">
      <c r="A2" s="86"/>
      <c r="B2" s="86"/>
      <c r="C2" s="567" t="s">
        <v>4766</v>
      </c>
      <c r="D2" s="568"/>
      <c r="E2" s="569"/>
    </row>
    <row r="3" spans="1:11" ht="14.5" customHeight="1" x14ac:dyDescent="0.35">
      <c r="A3" s="86"/>
      <c r="B3" s="86"/>
      <c r="C3" s="123" t="s">
        <v>4042</v>
      </c>
      <c r="D3" s="589"/>
      <c r="E3" s="590"/>
      <c r="F3" s="401" t="str">
        <f>IF(D3="","VALEUR MANQUANTE","OK")</f>
        <v>VALEUR MANQUANTE</v>
      </c>
    </row>
    <row r="4" spans="1:11" ht="14.5" customHeight="1" x14ac:dyDescent="0.35">
      <c r="A4" s="86"/>
      <c r="B4" s="86"/>
      <c r="C4" s="123" t="s">
        <v>4043</v>
      </c>
      <c r="D4" s="265"/>
      <c r="E4" s="48"/>
      <c r="F4" s="401" t="str">
        <f>IF(OR(D4="", E4=""),"VALEUR MANQUANTE","OK")</f>
        <v>VALEUR MANQUANTE</v>
      </c>
    </row>
    <row r="5" spans="1:11" ht="14.5" customHeight="1" thickBot="1" x14ac:dyDescent="0.4">
      <c r="C5" s="235" t="s">
        <v>4044</v>
      </c>
      <c r="D5" s="591"/>
      <c r="E5" s="592"/>
      <c r="F5" s="401" t="str">
        <f>IF(D5="","VALEUR MANQUANTE","OK")</f>
        <v>VALEUR MANQUANTE</v>
      </c>
      <c r="H5" s="31"/>
    </row>
    <row r="6" spans="1:11" ht="14.5" customHeight="1" x14ac:dyDescent="0.35">
      <c r="C6" s="234" t="s">
        <v>4045</v>
      </c>
      <c r="D6" s="561"/>
      <c r="E6" s="562"/>
      <c r="F6" s="597" t="str">
        <f>IF(OR(D6="", D7="", D8=""),
    "VALEUR MANQUANTE",
    IF(OR(
        AND(D7="Février", D8&gt;29),
        AND(D7="Février", D8=29, NOT(AND(MOD(D6,4)=0, OR(MOD(D6,100)&lt;&gt;0, MOD(D6,400)=0)))),
        AND(OR(D7="Avril", D7="Juin", D7="Septembre", D7="Novembre"), D8=31)
    ),
        "ERREUR",
        IF(F10="VALEUR NON CONFORME", "VALEUR NON CONFORME", "OK")
    )
)</f>
        <v>VALEUR MANQUANTE</v>
      </c>
    </row>
    <row r="7" spans="1:11" ht="14.5" customHeight="1" x14ac:dyDescent="0.35">
      <c r="C7" s="139" t="s">
        <v>4046</v>
      </c>
      <c r="D7" s="593"/>
      <c r="E7" s="594"/>
      <c r="F7" s="597"/>
    </row>
    <row r="8" spans="1:11" ht="14.5" customHeight="1" x14ac:dyDescent="0.35">
      <c r="C8" s="139" t="s">
        <v>4047</v>
      </c>
      <c r="D8" s="595"/>
      <c r="E8" s="596"/>
      <c r="F8" s="597"/>
    </row>
    <row r="9" spans="1:11" ht="14.5" customHeight="1" thickBot="1" x14ac:dyDescent="0.4">
      <c r="C9" s="120" t="s">
        <v>4051</v>
      </c>
      <c r="D9" s="559" t="str">
        <f>IF(OR(ISBLANK(D6), ISBLANK(D7), ISBLANK(D8)), "-", TEXT(DATE(D6, MONTH(DATEVALUE("1 " &amp; D7)), D8), "jj/mm/aaaa"))</f>
        <v>-</v>
      </c>
      <c r="E9" s="560"/>
      <c r="F9"/>
    </row>
    <row r="10" spans="1:11" ht="14.5" customHeight="1" x14ac:dyDescent="0.35">
      <c r="C10" s="234" t="s">
        <v>4048</v>
      </c>
      <c r="D10" s="561"/>
      <c r="E10" s="562"/>
      <c r="F10" s="597" t="str">
        <f>IF(OR(D10="",D11="",D12=""),"VALEUR MANQUANTE",
IF(OR(
   AND(D11="Février",D12&gt;29),
   AND(D11="Février",D12=29,NOT(AND(MOD(D10,4)=0,OR(MOD(D10,100)&lt;&gt;0,MOD(D10,400)=0)))),
   AND(OR(D11="Avril",D11="Juin",D11="Septembre",D11="Novembre"),D12=31)
),"ERREUR",
IF(D10&lt;D6,"VALEUR NON CONFORME",
IF(D10&gt;D6,"OK",
IF(AND(D10=D6,
MATCH(D11,{"Janvier";"Février";"Mars";"Avril";"Mai";"Juin";"Juillet";"Août";"Septembre";"Octobre";"Novembre";"Décembre"},0)&lt;
MATCH(D7,{"Janvier";"Février";"Mars";"Avril";"Mai";"Juin";"Juillet";"Août";"Septembre";"Octobre";"Novembre";"Décembre"},0)),
"VALEUR NON CONFORME",
IF(AND(D10=D6,
MATCH(D11,{"Janvier";"Février";"Mars";"Avril";"Mai";"Juin";"Juillet";"Août";"Septembre";"Octobre";"Novembre";"Décembre"},0)&gt;
MATCH(D7,{"Janvier";"Février";"Mars";"Avril";"Mai";"Juin";"Juillet";"Août";"Septembre";"Octobre";"Novembre";"Décembre"},0)),
"OK",
IF(AND(D10=D6,
MATCH(D11,{"Janvier";"Février";"Mars";"Avril";"Mai";"Juin";"Juillet";"Août";"Septembre";"Octobre";"Novembre";"Décembre"},0)=
MATCH(D7,{"Janvier";"Février";"Mars";"Avril";"Mai";"Juin";"Juillet";"Août";"Septembre";"Octobre";"Novembre";"Décembre"},0),
D12&lt;D8),
"VALEUR NON CONFORME",
"OK"
)))))))</f>
        <v>VALEUR MANQUANTE</v>
      </c>
      <c r="K10" s="31"/>
    </row>
    <row r="11" spans="1:11" ht="14.5" customHeight="1" x14ac:dyDescent="0.35">
      <c r="C11" s="139" t="s">
        <v>4049</v>
      </c>
      <c r="D11" s="563"/>
      <c r="E11" s="564"/>
      <c r="F11" s="597"/>
    </row>
    <row r="12" spans="1:11" ht="14.5" customHeight="1" x14ac:dyDescent="0.35">
      <c r="C12" s="139" t="s">
        <v>4050</v>
      </c>
      <c r="D12" s="565"/>
      <c r="E12" s="566"/>
      <c r="F12" s="597"/>
    </row>
    <row r="13" spans="1:11" ht="14.5" customHeight="1" thickBot="1" x14ac:dyDescent="0.4">
      <c r="A13" s="86"/>
      <c r="B13" s="86"/>
      <c r="C13" s="120" t="s">
        <v>4857</v>
      </c>
      <c r="D13" s="559" t="str">
        <f>IF(OR(ISBLANK(D10), ISBLANK(D11), ISBLANK(D12)), "-", TEXT(DATE(D10, MONTH(DATEVALUE("1 " &amp; D11)), D12), "dd/mm/yyyy"))</f>
        <v>-</v>
      </c>
      <c r="E13" s="560"/>
      <c r="F13" s="9"/>
    </row>
    <row r="14" spans="1:11" x14ac:dyDescent="0.35">
      <c r="A14" s="86"/>
      <c r="B14" s="86"/>
      <c r="C14" s="87"/>
      <c r="D14" s="87"/>
      <c r="E14" s="88"/>
      <c r="F14" s="9"/>
    </row>
    <row r="15" spans="1:11" ht="15" customHeight="1" thickBot="1" x14ac:dyDescent="0.4">
      <c r="A15" s="86"/>
      <c r="B15" s="86"/>
      <c r="E15" s="10"/>
    </row>
    <row r="16" spans="1:11" x14ac:dyDescent="0.35">
      <c r="A16" s="89"/>
      <c r="B16" s="86"/>
      <c r="C16" s="572" t="s">
        <v>4052</v>
      </c>
      <c r="D16" s="573"/>
      <c r="E16" s="574"/>
    </row>
    <row r="17" spans="1:6" x14ac:dyDescent="0.35">
      <c r="A17" s="89"/>
      <c r="B17" s="86"/>
      <c r="C17" s="577">
        <v>16</v>
      </c>
      <c r="D17" s="578"/>
      <c r="E17" s="579"/>
      <c r="F17" s="236"/>
    </row>
    <row r="18" spans="1:6" ht="14.5" customHeight="1" x14ac:dyDescent="0.35">
      <c r="C18" s="575" t="s">
        <v>4802</v>
      </c>
      <c r="D18" s="576"/>
      <c r="E18" s="49" t="b">
        <v>0</v>
      </c>
      <c r="F18" s="9" t="str">
        <f>IF(E18=FALSE,"","OK")</f>
        <v/>
      </c>
    </row>
    <row r="19" spans="1:6" ht="14.5" customHeight="1" x14ac:dyDescent="0.35">
      <c r="C19" s="580" t="s">
        <v>4803</v>
      </c>
      <c r="D19" s="581"/>
      <c r="E19" s="50"/>
      <c r="F19" s="9" t="str">
        <f>IF(AND(E18=FALSE, E19=""), "",
IF(AND(E18=FALSE, E19&lt;&gt;""), "",
IF(AND(E18=TRUE, E19=""), "MISSING VALUE",
IF(AND(E18=TRUE, E19&lt;&gt;"", COUNTIF(E19:E28, E19) = COUNTA(E19:E28), COUNTA(E19:E28)&gt;1), "VALUE INCONSISTENCY",
"OK"))))</f>
        <v/>
      </c>
    </row>
    <row r="20" spans="1:6" ht="14.5" hidden="1" customHeight="1" outlineLevel="2" x14ac:dyDescent="0.35">
      <c r="C20" s="582"/>
      <c r="D20" s="583"/>
      <c r="E20" s="51"/>
      <c r="F20" s="9" t="str">
        <f>IF($E$18=FALSE, "",
IF(E20="", "",
IF(COUNTIF($E$19:$E$28, E20) &gt; 1, "VALUE INCONSISTENCY", "OK")))</f>
        <v/>
      </c>
    </row>
    <row r="21" spans="1:6" ht="14.5" hidden="1" customHeight="1" outlineLevel="2" x14ac:dyDescent="0.35">
      <c r="C21" s="582"/>
      <c r="D21" s="583"/>
      <c r="E21" s="51"/>
      <c r="F21" s="9" t="str">
        <f t="shared" ref="F21:F28" si="0">IF($E$18=FALSE, "",
IF(E21="", "",
IF(COUNTIF($E$19:$E$28, E21) &gt; 1, "VALUE INCONSISTENCY", "OK")))</f>
        <v/>
      </c>
    </row>
    <row r="22" spans="1:6" ht="14.5" hidden="1" customHeight="1" outlineLevel="2" x14ac:dyDescent="0.35">
      <c r="C22" s="582"/>
      <c r="D22" s="583"/>
      <c r="E22" s="51"/>
      <c r="F22" s="9" t="str">
        <f t="shared" si="0"/>
        <v/>
      </c>
    </row>
    <row r="23" spans="1:6" ht="14.5" hidden="1" customHeight="1" outlineLevel="2" x14ac:dyDescent="0.35">
      <c r="C23" s="582"/>
      <c r="D23" s="583"/>
      <c r="E23" s="51"/>
      <c r="F23" s="9" t="str">
        <f t="shared" si="0"/>
        <v/>
      </c>
    </row>
    <row r="24" spans="1:6" ht="14.5" hidden="1" customHeight="1" outlineLevel="2" x14ac:dyDescent="0.35">
      <c r="C24" s="582"/>
      <c r="D24" s="583"/>
      <c r="E24" s="51"/>
      <c r="F24" s="9" t="str">
        <f t="shared" si="0"/>
        <v/>
      </c>
    </row>
    <row r="25" spans="1:6" ht="14.5" hidden="1" customHeight="1" outlineLevel="2" x14ac:dyDescent="0.35">
      <c r="C25" s="582"/>
      <c r="D25" s="583"/>
      <c r="E25" s="51"/>
      <c r="F25" s="9" t="str">
        <f t="shared" si="0"/>
        <v/>
      </c>
    </row>
    <row r="26" spans="1:6" ht="14.5" hidden="1" customHeight="1" outlineLevel="2" x14ac:dyDescent="0.35">
      <c r="C26" s="582"/>
      <c r="D26" s="583"/>
      <c r="E26" s="51"/>
      <c r="F26" s="9" t="str">
        <f t="shared" si="0"/>
        <v/>
      </c>
    </row>
    <row r="27" spans="1:6" ht="14.5" hidden="1" customHeight="1" outlineLevel="2" x14ac:dyDescent="0.35">
      <c r="C27" s="582"/>
      <c r="D27" s="583"/>
      <c r="E27" s="51"/>
      <c r="F27" s="9" t="str">
        <f t="shared" si="0"/>
        <v/>
      </c>
    </row>
    <row r="28" spans="1:6" ht="14.5" hidden="1" customHeight="1" outlineLevel="2" x14ac:dyDescent="0.35">
      <c r="C28" s="584"/>
      <c r="D28" s="585"/>
      <c r="E28" s="51"/>
      <c r="F28" s="9" t="str">
        <f t="shared" si="0"/>
        <v/>
      </c>
    </row>
    <row r="29" spans="1:6" ht="14.5" customHeight="1" collapsed="1" thickBot="1" x14ac:dyDescent="0.4">
      <c r="A29" s="90"/>
      <c r="B29" s="90"/>
      <c r="C29" s="516" t="s">
        <v>4804</v>
      </c>
      <c r="D29" s="517"/>
      <c r="E29" s="214"/>
      <c r="F29" s="9" t="str">
        <f>IF(AND(E18=FALSE,E29=""),"",IF(AND(E18=TRUE,E29=""),"MISSING VALUE",
IF(AND(E18=FALSE,E29&lt;&gt;""),"",
IF(AND(E18=TRUE,E29&lt;&gt;"",OR(LEFT(E29,7)="http://",LEFT(E29,8)="https://",LEFT(E29,4)="www.")),"OK",
IF(E18=TRUE,"INVALID URL","MISSING VALUE")))))</f>
        <v/>
      </c>
    </row>
    <row r="30" spans="1:6" ht="15" thickBot="1" x14ac:dyDescent="0.4">
      <c r="A30" s="91"/>
      <c r="B30" s="91"/>
    </row>
    <row r="31" spans="1:6" ht="17.649999999999999" customHeight="1" x14ac:dyDescent="0.35">
      <c r="C31" s="586" t="str">
        <f>"B1 - Base d'établissement et autres informations générales relatives à l'entreprise " &amp; template_reporting_period_display &amp; " [obligatoire]"</f>
        <v>B1 - Base d'établissement et autres informations générales relatives à l'entreprise du - au - [obligatoire]</v>
      </c>
      <c r="D31" s="587"/>
      <c r="E31" s="588"/>
      <c r="F31"/>
    </row>
    <row r="32" spans="1:6" x14ac:dyDescent="0.35">
      <c r="A32" s="248" t="s">
        <v>3905</v>
      </c>
      <c r="B32" s="239" t="s">
        <v>4089</v>
      </c>
      <c r="C32" s="550" t="s">
        <v>4053</v>
      </c>
      <c r="D32" s="551"/>
      <c r="E32" s="52"/>
      <c r="F32" s="401" t="str">
        <f>IF(E32="","VALEUR MANQUANTE","OK")</f>
        <v>VALEUR MANQUANTE</v>
      </c>
    </row>
    <row r="33" spans="1:6" x14ac:dyDescent="0.35">
      <c r="A33" s="248" t="s">
        <v>3906</v>
      </c>
      <c r="B33" s="239" t="s">
        <v>4089</v>
      </c>
      <c r="C33" s="598" t="s">
        <v>4054</v>
      </c>
      <c r="D33" s="599"/>
      <c r="E33" s="52"/>
      <c r="F33" s="9" t="str">
        <f>IF(E32="", "",
IF(AND(OR(E32="Option A (Basic Module only)", E32="Option B (Basic Module and Comprehensive Module)"), E33=""), "MISSING VALUE",
IF(COUNTIF(E33:E42, E33) &gt; 1, "VALUE INCONSISTENCY", "OK")))</f>
        <v/>
      </c>
    </row>
    <row r="34" spans="1:6" ht="14.5" hidden="1" customHeight="1" outlineLevel="2" x14ac:dyDescent="0.35">
      <c r="C34" s="598"/>
      <c r="D34" s="599"/>
      <c r="E34" s="53"/>
      <c r="F34" s="9" t="str">
        <f>IF(AND($E$33="None",E34&lt;&gt;""), "VALUE INCONSISTENCY",
IF(E34="", "",
IF(COUNTIF($E$33:$E$41, E34) &gt; 1,
   "VALUE INCONSISTENCY",
   "OK")))</f>
        <v/>
      </c>
    </row>
    <row r="35" spans="1:6" ht="14.5" hidden="1" customHeight="1" outlineLevel="2" x14ac:dyDescent="0.35">
      <c r="C35" s="598"/>
      <c r="D35" s="599"/>
      <c r="E35" s="53"/>
      <c r="F35" s="9" t="str">
        <f t="shared" ref="F35:F41" si="1">IF(AND($E$33="None",E35&lt;&gt;""), "VALUE INCONSISTENCY",
IF(E35="", "",
IF(COUNTIF($E$33:$E$41, E35) &gt; 1,
   "VALUE INCONSISTENCY",
   "OK")))</f>
        <v/>
      </c>
    </row>
    <row r="36" spans="1:6" ht="14.5" hidden="1" customHeight="1" outlineLevel="2" x14ac:dyDescent="0.35">
      <c r="C36" s="598"/>
      <c r="D36" s="599"/>
      <c r="E36" s="53"/>
      <c r="F36" s="9" t="str">
        <f t="shared" si="1"/>
        <v/>
      </c>
    </row>
    <row r="37" spans="1:6" ht="14.5" hidden="1" customHeight="1" outlineLevel="2" x14ac:dyDescent="0.35">
      <c r="C37" s="598"/>
      <c r="D37" s="599"/>
      <c r="E37" s="53"/>
      <c r="F37" s="9" t="str">
        <f t="shared" si="1"/>
        <v/>
      </c>
    </row>
    <row r="38" spans="1:6" ht="14.5" hidden="1" customHeight="1" outlineLevel="2" x14ac:dyDescent="0.35">
      <c r="C38" s="598"/>
      <c r="D38" s="599"/>
      <c r="E38" s="53"/>
      <c r="F38" s="9" t="str">
        <f t="shared" si="1"/>
        <v/>
      </c>
    </row>
    <row r="39" spans="1:6" ht="14.5" hidden="1" customHeight="1" outlineLevel="2" x14ac:dyDescent="0.35">
      <c r="C39" s="598"/>
      <c r="D39" s="599"/>
      <c r="E39" s="53"/>
      <c r="F39" s="9" t="str">
        <f t="shared" si="1"/>
        <v/>
      </c>
    </row>
    <row r="40" spans="1:6" ht="14.5" hidden="1" customHeight="1" outlineLevel="2" x14ac:dyDescent="0.35">
      <c r="C40" s="598"/>
      <c r="D40" s="599"/>
      <c r="E40" s="53"/>
      <c r="F40" s="9" t="str">
        <f t="shared" si="1"/>
        <v/>
      </c>
    </row>
    <row r="41" spans="1:6" ht="14.5" hidden="1" customHeight="1" outlineLevel="2" x14ac:dyDescent="0.35">
      <c r="C41" s="598"/>
      <c r="D41" s="599"/>
      <c r="E41" s="53"/>
      <c r="F41" s="9" t="str">
        <f t="shared" si="1"/>
        <v/>
      </c>
    </row>
    <row r="42" spans="1:6" collapsed="1" x14ac:dyDescent="0.35">
      <c r="A42" s="248" t="s">
        <v>3907</v>
      </c>
      <c r="B42" s="239" t="s">
        <v>4089</v>
      </c>
      <c r="C42" s="550" t="s">
        <v>4055</v>
      </c>
      <c r="D42" s="551"/>
      <c r="E42" s="52"/>
      <c r="F42" s="9" t="str">
        <f>IF(AND(OR(E32="Option A (Basic Module only)", E32="Option B (Basic Module and Comprehensive Module)"),E42=""),"MISSING VALUE",IF(E32="","","OK"))</f>
        <v/>
      </c>
    </row>
    <row r="43" spans="1:6" x14ac:dyDescent="0.35">
      <c r="A43" s="554" t="s">
        <v>3907</v>
      </c>
      <c r="B43" s="556">
        <v>68</v>
      </c>
      <c r="C43" s="550" t="s">
        <v>4056</v>
      </c>
      <c r="D43" s="551"/>
      <c r="E43" s="52"/>
      <c r="F43" s="9" t="str">
        <f>IF(AND(OR(E32="Option A (Basic Module only)", E32="Option B (Basic Module and Comprehensive Module)"),E43=""),"MISSING VALUE",IF(E32="","","OK"))</f>
        <v/>
      </c>
    </row>
    <row r="44" spans="1:6" x14ac:dyDescent="0.35">
      <c r="A44" s="555"/>
      <c r="B44" s="556"/>
      <c r="C44" s="557" t="s">
        <v>4057</v>
      </c>
      <c r="D44" s="558"/>
      <c r="E44" s="54"/>
      <c r="F44" s="9" t="str">
        <f>IF(AND(E43="other (please specify the legal form in the row below)",E44&lt;&gt;""),"OK",IF(AND(E43="other (please specify the legal form in the row below)",E44=""),"MISSING VALUE",IF(AND(E43="",E44=""),"",IF(AND(E43&lt;&gt;"other (please specify the legal form in the row below)",E44=""),"",""))))</f>
        <v/>
      </c>
    </row>
    <row r="45" spans="1:6" ht="14.5" customHeight="1" x14ac:dyDescent="0.35">
      <c r="A45" s="546" t="s">
        <v>3908</v>
      </c>
      <c r="B45" s="548" t="s">
        <v>3909</v>
      </c>
      <c r="C45" s="550" t="s">
        <v>4058</v>
      </c>
      <c r="D45" s="551"/>
      <c r="E45" s="52"/>
      <c r="F45" s="9" t="str">
        <f>IF(OR(E32="Option A (Basic Module only)", E32="Option B (Basic Module and Comprehensive Module)"),
    IF(COUNTIF(enum_ListNACECategories, E45)&gt;0, "ERROR",
        IF(E45="", "MISSING VALUE",
            IF(COUNTIF(E45:E59, E45)&gt;1, "VALUE INCONSISTENCY", "OK")
        )
    ),
    ""
)</f>
        <v/>
      </c>
    </row>
    <row r="46" spans="1:6" ht="14.5" hidden="1" customHeight="1" outlineLevel="1" x14ac:dyDescent="0.35">
      <c r="A46" s="547"/>
      <c r="B46" s="549"/>
      <c r="C46" s="550"/>
      <c r="D46" s="551"/>
      <c r="E46" s="55"/>
      <c r="F46" s="9" t="str">
        <f t="shared" ref="F46:F59" si="2">IF(COUNTIF(enum_ListNACECategories, E46)&gt;0, "ERROR",
IF(E46="", "",
IF(COUNTIF(E45:E59, E46)&gt;1, "VALUE INCONSISTENCY", "OK")))</f>
        <v/>
      </c>
    </row>
    <row r="47" spans="1:6" ht="14.5" hidden="1" customHeight="1" outlineLevel="1" x14ac:dyDescent="0.35">
      <c r="A47" s="547"/>
      <c r="B47" s="549"/>
      <c r="C47" s="550"/>
      <c r="D47" s="551"/>
      <c r="E47" s="55"/>
      <c r="F47" s="9" t="str">
        <f t="shared" si="2"/>
        <v/>
      </c>
    </row>
    <row r="48" spans="1:6" ht="14.5" hidden="1" customHeight="1" outlineLevel="1" x14ac:dyDescent="0.35">
      <c r="A48" s="547"/>
      <c r="B48" s="549"/>
      <c r="C48" s="550"/>
      <c r="D48" s="551"/>
      <c r="E48" s="55"/>
      <c r="F48" s="9" t="str">
        <f t="shared" si="2"/>
        <v/>
      </c>
    </row>
    <row r="49" spans="1:6" ht="14.5" hidden="1" customHeight="1" outlineLevel="1" x14ac:dyDescent="0.35">
      <c r="A49" s="547"/>
      <c r="B49" s="549"/>
      <c r="C49" s="550"/>
      <c r="D49" s="551"/>
      <c r="E49" s="55"/>
      <c r="F49" s="9" t="str">
        <f t="shared" si="2"/>
        <v/>
      </c>
    </row>
    <row r="50" spans="1:6" ht="14.5" hidden="1" customHeight="1" outlineLevel="1" x14ac:dyDescent="0.35">
      <c r="A50" s="547"/>
      <c r="B50" s="549"/>
      <c r="C50" s="550"/>
      <c r="D50" s="551"/>
      <c r="E50" s="55"/>
      <c r="F50" s="9" t="str">
        <f t="shared" si="2"/>
        <v/>
      </c>
    </row>
    <row r="51" spans="1:6" ht="14.5" hidden="1" customHeight="1" outlineLevel="1" x14ac:dyDescent="0.35">
      <c r="A51" s="547"/>
      <c r="B51" s="549"/>
      <c r="C51" s="550"/>
      <c r="D51" s="551"/>
      <c r="E51" s="55"/>
      <c r="F51" s="9" t="str">
        <f t="shared" si="2"/>
        <v/>
      </c>
    </row>
    <row r="52" spans="1:6" ht="14.5" hidden="1" customHeight="1" outlineLevel="1" x14ac:dyDescent="0.35">
      <c r="A52" s="547"/>
      <c r="B52" s="549"/>
      <c r="C52" s="550"/>
      <c r="D52" s="551"/>
      <c r="E52" s="55"/>
      <c r="F52" s="9" t="str">
        <f t="shared" si="2"/>
        <v/>
      </c>
    </row>
    <row r="53" spans="1:6" ht="14.5" hidden="1" customHeight="1" outlineLevel="1" x14ac:dyDescent="0.35">
      <c r="A53" s="547"/>
      <c r="B53" s="549"/>
      <c r="C53" s="550"/>
      <c r="D53" s="551"/>
      <c r="E53" s="55"/>
      <c r="F53" s="9" t="str">
        <f t="shared" si="2"/>
        <v/>
      </c>
    </row>
    <row r="54" spans="1:6" ht="14.5" hidden="1" customHeight="1" outlineLevel="1" x14ac:dyDescent="0.35">
      <c r="A54" s="547"/>
      <c r="B54" s="549"/>
      <c r="C54" s="550"/>
      <c r="D54" s="551"/>
      <c r="E54" s="55"/>
      <c r="F54" s="9" t="str">
        <f t="shared" si="2"/>
        <v/>
      </c>
    </row>
    <row r="55" spans="1:6" ht="14.5" hidden="1" customHeight="1" outlineLevel="1" x14ac:dyDescent="0.35">
      <c r="A55" s="547"/>
      <c r="B55" s="549"/>
      <c r="C55" s="550"/>
      <c r="D55" s="551"/>
      <c r="E55" s="55"/>
      <c r="F55" s="9" t="str">
        <f t="shared" si="2"/>
        <v/>
      </c>
    </row>
    <row r="56" spans="1:6" ht="14.5" hidden="1" customHeight="1" outlineLevel="1" x14ac:dyDescent="0.35">
      <c r="A56" s="547"/>
      <c r="B56" s="549"/>
      <c r="C56" s="550"/>
      <c r="D56" s="551"/>
      <c r="E56" s="55"/>
      <c r="F56" s="9" t="str">
        <f t="shared" si="2"/>
        <v/>
      </c>
    </row>
    <row r="57" spans="1:6" ht="14.5" hidden="1" customHeight="1" outlineLevel="1" x14ac:dyDescent="0.35">
      <c r="A57" s="547"/>
      <c r="B57" s="549"/>
      <c r="C57" s="550"/>
      <c r="D57" s="551"/>
      <c r="E57" s="55"/>
      <c r="F57" s="9" t="str">
        <f t="shared" si="2"/>
        <v/>
      </c>
    </row>
    <row r="58" spans="1:6" ht="14.5" hidden="1" customHeight="1" outlineLevel="1" x14ac:dyDescent="0.35">
      <c r="A58" s="547"/>
      <c r="B58" s="549"/>
      <c r="C58" s="550"/>
      <c r="D58" s="551"/>
      <c r="E58" s="55"/>
      <c r="F58" s="9" t="str">
        <f t="shared" si="2"/>
        <v/>
      </c>
    </row>
    <row r="59" spans="1:6" ht="14.5" hidden="1" customHeight="1" outlineLevel="1" x14ac:dyDescent="0.35">
      <c r="A59" s="547"/>
      <c r="B59" s="549"/>
      <c r="C59" s="550"/>
      <c r="D59" s="551"/>
      <c r="E59" s="55"/>
      <c r="F59" s="9" t="str">
        <f t="shared" si="2"/>
        <v/>
      </c>
    </row>
    <row r="60" spans="1:6" ht="14.5" customHeight="1" collapsed="1" x14ac:dyDescent="0.35">
      <c r="A60" s="248" t="s">
        <v>3910</v>
      </c>
      <c r="B60" s="239" t="s">
        <v>4089</v>
      </c>
      <c r="C60" s="550" t="str">
        <f>"Taille du bilan en " &amp; template_currency</f>
        <v xml:space="preserve">Taille du bilan en </v>
      </c>
      <c r="D60" s="551"/>
      <c r="E60" s="56"/>
      <c r="F60" s="9" t="str">
        <f>IF(AND(OR(E32="Option A (Basic Module only)", E32="Option B (Basic Module and Comprehensive Module)"),E60=""),"MISSING VALUE",IF(E32="","","OK"))</f>
        <v/>
      </c>
    </row>
    <row r="61" spans="1:6" ht="14.5" customHeight="1" x14ac:dyDescent="0.35">
      <c r="A61" s="248" t="s">
        <v>3911</v>
      </c>
      <c r="B61" s="239" t="s">
        <v>4089</v>
      </c>
      <c r="C61" s="550" t="str">
        <f>"Chiffre d'affaires en " &amp;  template_currency</f>
        <v xml:space="preserve">Chiffre d'affaires en </v>
      </c>
      <c r="D61" s="551"/>
      <c r="E61" s="56"/>
      <c r="F61" s="9" t="str">
        <f>IF(AND(OR(E32="Option A (Basic Module only)", E32="Option B (Basic Module and Comprehensive Module)"),E61=""),"MISSING VALUE",IF(E32="","","OK"))</f>
        <v/>
      </c>
    </row>
    <row r="62" spans="1:6" ht="14.5" customHeight="1" x14ac:dyDescent="0.35">
      <c r="A62" s="248" t="s">
        <v>3900</v>
      </c>
      <c r="B62" s="250" t="s">
        <v>3899</v>
      </c>
      <c r="C62" s="550" t="s">
        <v>4059</v>
      </c>
      <c r="D62" s="551"/>
      <c r="E62" s="57"/>
      <c r="F62" s="9" t="str">
        <f>IF(AND(OR(E32="Option A (Basic Module only)", E32="Option B (Basic Module and Comprehensive Module)"),E62=""),"MISSING VALUE",IF(E32="","","OK"))</f>
        <v/>
      </c>
    </row>
    <row r="63" spans="1:6" ht="14.5" customHeight="1" x14ac:dyDescent="0.35">
      <c r="A63" s="248" t="s">
        <v>3900</v>
      </c>
      <c r="B63" s="250" t="s">
        <v>3912</v>
      </c>
      <c r="C63" s="605" t="s">
        <v>4060</v>
      </c>
      <c r="D63" s="606"/>
      <c r="E63" s="57"/>
      <c r="F63" s="9" t="str">
        <f>IF(AND(OR(E32="Option A (Basic Module only)", E32="Option B (Basic Module and Comprehensive Module)"),E63=""),"MISSING VALUE",IF(E32="","","OK"))</f>
        <v/>
      </c>
    </row>
    <row r="64" spans="1:6" ht="14.5" customHeight="1" x14ac:dyDescent="0.35">
      <c r="A64" s="248" t="s">
        <v>3900</v>
      </c>
      <c r="B64" s="250" t="s">
        <v>3912</v>
      </c>
      <c r="C64" s="550" t="s">
        <v>4869</v>
      </c>
      <c r="D64" s="551"/>
      <c r="E64" s="53"/>
      <c r="F64" s="9" t="str">
        <f>IF(AND(OR(E32="Option A (Basic Module only)", E32="Option B (Basic Module and Comprehensive Module)"),E64=""),"MISSING VALUE",IF(E32="","","OK"))</f>
        <v/>
      </c>
    </row>
    <row r="65" spans="1:6" ht="14.5" customHeight="1" thickBot="1" x14ac:dyDescent="0.4">
      <c r="A65" s="248" t="s">
        <v>3914</v>
      </c>
      <c r="B65" s="250" t="s">
        <v>3913</v>
      </c>
      <c r="C65" s="552" t="s">
        <v>4061</v>
      </c>
      <c r="D65" s="553"/>
      <c r="E65" s="58"/>
      <c r="F65" s="9" t="str">
        <f>IF(AND(OR(E32="Option A (Basic Module only)", E32="Option B (Basic Module and Comprehensive Module)"),E65=""),"MISSING VALUE",IF(E32="","","OK"))</f>
        <v/>
      </c>
    </row>
    <row r="66" spans="1:6" ht="15" thickBot="1" x14ac:dyDescent="0.4">
      <c r="A66" s="237"/>
      <c r="B66" s="86"/>
    </row>
    <row r="67" spans="1:6" ht="14.5" customHeight="1" x14ac:dyDescent="0.35">
      <c r="A67" s="86"/>
      <c r="B67" s="86"/>
      <c r="C67" s="586" t="str">
        <f xml:space="preserve"> "B1 - Liste des filiales " &amp; template_reporting_period_display &amp; " [si pertinent]"</f>
        <v>B1 - Liste des filiales du - au - [si pertinent]</v>
      </c>
      <c r="D67" s="587"/>
      <c r="E67" s="588"/>
    </row>
    <row r="68" spans="1:6" ht="14.5" customHeight="1" x14ac:dyDescent="0.35">
      <c r="A68" s="86"/>
      <c r="B68" s="86"/>
      <c r="C68" s="499" t="s">
        <v>3915</v>
      </c>
      <c r="D68" s="500"/>
      <c r="E68" s="501"/>
      <c r="F68" s="92"/>
    </row>
    <row r="69" spans="1:6" ht="14.5" customHeight="1" x14ac:dyDescent="0.35">
      <c r="A69" s="86"/>
      <c r="B69" s="86"/>
      <c r="C69" s="3" t="s">
        <v>0</v>
      </c>
      <c r="D69" s="1" t="s">
        <v>4062</v>
      </c>
      <c r="E69" s="93" t="s">
        <v>4063</v>
      </c>
    </row>
    <row r="70" spans="1:6" ht="14.5" customHeight="1" thickBot="1" x14ac:dyDescent="0.4">
      <c r="A70" s="86"/>
      <c r="B70" s="86"/>
      <c r="C70" s="4">
        <v>1</v>
      </c>
      <c r="D70" s="59"/>
      <c r="E70" s="60"/>
      <c r="F70" s="9" t="str">
        <f>IF(AND(BasisForReporting="Sustainability report prepared on a consolidated basis",D70&lt;&gt;"",E70=""),"MISSING VALUE", IF(AND(BasisForReporting="Sustainability report prepared on a consolidated basis",D70&lt;&gt;"",E70&lt;&gt;""),"OK", IF(AND(BasisForReporting="Sustainability report prepared on a consolidated basis",D70="",E70=""),"MISSING VALUE", "")))</f>
        <v/>
      </c>
    </row>
    <row r="71" spans="1:6" ht="14.5" hidden="1" customHeight="1" outlineLevel="1" x14ac:dyDescent="0.35">
      <c r="A71" s="86"/>
      <c r="B71" s="86"/>
      <c r="C71" s="14">
        <v>2</v>
      </c>
      <c r="D71" s="61"/>
      <c r="E71" s="62"/>
      <c r="F71" s="84" t="str">
        <f t="shared" ref="F71:F94" si="3">IF(AND(D71&lt;&gt;"",E71=""),"MISSING VALUE", IF(AND(D71&lt;&gt;"",E71&lt;&gt;""),"OK", IF(AND(D71="",E71=""),"", "MISSING VALUE")))</f>
        <v/>
      </c>
    </row>
    <row r="72" spans="1:6" ht="14.5" hidden="1" customHeight="1" outlineLevel="1" x14ac:dyDescent="0.35">
      <c r="C72" s="3">
        <v>3</v>
      </c>
      <c r="D72" s="63"/>
      <c r="E72" s="64"/>
      <c r="F72" s="84" t="str">
        <f t="shared" si="3"/>
        <v/>
      </c>
    </row>
    <row r="73" spans="1:6" ht="14.5" hidden="1" customHeight="1" outlineLevel="1" x14ac:dyDescent="0.35">
      <c r="C73" s="3">
        <v>4</v>
      </c>
      <c r="D73" s="63"/>
      <c r="E73" s="64"/>
      <c r="F73" s="84" t="str">
        <f t="shared" si="3"/>
        <v/>
      </c>
    </row>
    <row r="74" spans="1:6" ht="14.5" hidden="1" customHeight="1" outlineLevel="1" x14ac:dyDescent="0.35">
      <c r="C74" s="11">
        <v>5</v>
      </c>
      <c r="D74" s="63"/>
      <c r="E74" s="64"/>
      <c r="F74" s="84" t="str">
        <f t="shared" si="3"/>
        <v/>
      </c>
    </row>
    <row r="75" spans="1:6" ht="14.5" hidden="1" customHeight="1" outlineLevel="1" x14ac:dyDescent="0.35">
      <c r="C75" s="3">
        <v>6</v>
      </c>
      <c r="D75" s="63"/>
      <c r="E75" s="64"/>
      <c r="F75" s="84" t="str">
        <f t="shared" si="3"/>
        <v/>
      </c>
    </row>
    <row r="76" spans="1:6" ht="14.5" hidden="1" customHeight="1" outlineLevel="1" x14ac:dyDescent="0.35">
      <c r="C76" s="3">
        <v>7</v>
      </c>
      <c r="D76" s="63"/>
      <c r="E76" s="64"/>
      <c r="F76" s="84" t="str">
        <f t="shared" si="3"/>
        <v/>
      </c>
    </row>
    <row r="77" spans="1:6" ht="14.5" hidden="1" customHeight="1" outlineLevel="1" x14ac:dyDescent="0.35">
      <c r="C77" s="11">
        <v>8</v>
      </c>
      <c r="D77" s="63"/>
      <c r="E77" s="64"/>
      <c r="F77" s="84" t="str">
        <f t="shared" si="3"/>
        <v/>
      </c>
    </row>
    <row r="78" spans="1:6" ht="14.5" hidden="1" customHeight="1" outlineLevel="1" x14ac:dyDescent="0.35">
      <c r="C78" s="3">
        <v>9</v>
      </c>
      <c r="D78" s="63"/>
      <c r="E78" s="64"/>
      <c r="F78" s="84" t="str">
        <f t="shared" si="3"/>
        <v/>
      </c>
    </row>
    <row r="79" spans="1:6" ht="14.5" hidden="1" customHeight="1" outlineLevel="1" x14ac:dyDescent="0.35">
      <c r="C79" s="3">
        <v>10</v>
      </c>
      <c r="D79" s="63"/>
      <c r="E79" s="64"/>
      <c r="F79" s="84" t="str">
        <f t="shared" si="3"/>
        <v/>
      </c>
    </row>
    <row r="80" spans="1:6" ht="14.5" hidden="1" customHeight="1" outlineLevel="1" x14ac:dyDescent="0.35">
      <c r="C80" s="11">
        <v>11</v>
      </c>
      <c r="D80" s="63"/>
      <c r="E80" s="64"/>
      <c r="F80" s="84" t="str">
        <f t="shared" si="3"/>
        <v/>
      </c>
    </row>
    <row r="81" spans="3:8" ht="14.5" hidden="1" customHeight="1" outlineLevel="1" x14ac:dyDescent="0.35">
      <c r="C81" s="3">
        <v>12</v>
      </c>
      <c r="D81" s="63"/>
      <c r="E81" s="64"/>
      <c r="F81" s="84" t="str">
        <f t="shared" si="3"/>
        <v/>
      </c>
    </row>
    <row r="82" spans="3:8" ht="14.5" hidden="1" customHeight="1" outlineLevel="1" x14ac:dyDescent="0.35">
      <c r="C82" s="3">
        <v>13</v>
      </c>
      <c r="D82" s="63"/>
      <c r="E82" s="64"/>
      <c r="F82" s="84" t="str">
        <f t="shared" si="3"/>
        <v/>
      </c>
    </row>
    <row r="83" spans="3:8" ht="14.5" hidden="1" customHeight="1" outlineLevel="1" x14ac:dyDescent="0.35">
      <c r="C83" s="11">
        <v>14</v>
      </c>
      <c r="D83" s="63"/>
      <c r="E83" s="64"/>
      <c r="F83" s="84" t="str">
        <f t="shared" si="3"/>
        <v/>
      </c>
    </row>
    <row r="84" spans="3:8" ht="14.5" hidden="1" customHeight="1" outlineLevel="1" x14ac:dyDescent="0.35">
      <c r="C84" s="3">
        <v>15</v>
      </c>
      <c r="D84" s="63"/>
      <c r="E84" s="64"/>
      <c r="F84" s="84" t="str">
        <f t="shared" si="3"/>
        <v/>
      </c>
    </row>
    <row r="85" spans="3:8" ht="14.5" hidden="1" customHeight="1" outlineLevel="1" x14ac:dyDescent="0.35">
      <c r="C85" s="3">
        <v>16</v>
      </c>
      <c r="D85" s="63"/>
      <c r="E85" s="64"/>
      <c r="F85" s="84" t="str">
        <f t="shared" si="3"/>
        <v/>
      </c>
    </row>
    <row r="86" spans="3:8" ht="14.5" hidden="1" customHeight="1" outlineLevel="1" x14ac:dyDescent="0.35">
      <c r="C86" s="11">
        <v>17</v>
      </c>
      <c r="D86" s="63"/>
      <c r="E86" s="64"/>
      <c r="F86" s="84" t="str">
        <f t="shared" si="3"/>
        <v/>
      </c>
    </row>
    <row r="87" spans="3:8" ht="14.5" hidden="1" customHeight="1" outlineLevel="1" x14ac:dyDescent="0.35">
      <c r="C87" s="3">
        <v>18</v>
      </c>
      <c r="D87" s="63"/>
      <c r="E87" s="64"/>
      <c r="F87" s="84" t="str">
        <f t="shared" si="3"/>
        <v/>
      </c>
    </row>
    <row r="88" spans="3:8" ht="14.5" hidden="1" customHeight="1" outlineLevel="1" x14ac:dyDescent="0.35">
      <c r="C88" s="3">
        <v>19</v>
      </c>
      <c r="D88" s="63"/>
      <c r="E88" s="64"/>
      <c r="F88" s="84" t="str">
        <f t="shared" si="3"/>
        <v/>
      </c>
    </row>
    <row r="89" spans="3:8" ht="14.5" hidden="1" customHeight="1" outlineLevel="1" x14ac:dyDescent="0.35">
      <c r="C89" s="11">
        <v>20</v>
      </c>
      <c r="D89" s="63"/>
      <c r="E89" s="64"/>
      <c r="F89" s="84" t="str">
        <f t="shared" si="3"/>
        <v/>
      </c>
    </row>
    <row r="90" spans="3:8" ht="14.5" hidden="1" customHeight="1" outlineLevel="1" x14ac:dyDescent="0.35">
      <c r="C90" s="3">
        <v>21</v>
      </c>
      <c r="D90" s="63"/>
      <c r="E90" s="64"/>
      <c r="F90" s="84" t="str">
        <f t="shared" si="3"/>
        <v/>
      </c>
    </row>
    <row r="91" spans="3:8" ht="14.5" hidden="1" customHeight="1" outlineLevel="1" x14ac:dyDescent="0.35">
      <c r="C91" s="3">
        <v>22</v>
      </c>
      <c r="D91" s="63"/>
      <c r="E91" s="64"/>
      <c r="F91" s="84" t="str">
        <f t="shared" si="3"/>
        <v/>
      </c>
    </row>
    <row r="92" spans="3:8" ht="14.5" hidden="1" customHeight="1" outlineLevel="1" x14ac:dyDescent="0.35">
      <c r="C92" s="11">
        <v>23</v>
      </c>
      <c r="D92" s="63"/>
      <c r="E92" s="64"/>
      <c r="F92" s="84" t="str">
        <f t="shared" si="3"/>
        <v/>
      </c>
    </row>
    <row r="93" spans="3:8" ht="14.5" hidden="1" customHeight="1" outlineLevel="1" x14ac:dyDescent="0.35">
      <c r="C93" s="3">
        <v>24</v>
      </c>
      <c r="D93" s="63"/>
      <c r="E93" s="64"/>
      <c r="F93" s="84" t="str">
        <f t="shared" si="3"/>
        <v/>
      </c>
    </row>
    <row r="94" spans="3:8" ht="14.5" hidden="1" customHeight="1" outlineLevel="1" thickBot="1" x14ac:dyDescent="0.4">
      <c r="C94" s="4">
        <v>25</v>
      </c>
      <c r="D94" s="65"/>
      <c r="E94" s="60"/>
      <c r="F94" s="84" t="str">
        <f t="shared" si="3"/>
        <v/>
      </c>
    </row>
    <row r="95" spans="3:8" ht="15" collapsed="1" thickBot="1" x14ac:dyDescent="0.4"/>
    <row r="96" spans="3:8" ht="14.5" customHeight="1" x14ac:dyDescent="0.35">
      <c r="C96" s="617" t="str">
        <f xml:space="preserve"> "B1 - Informations sur les certifications ou labels en matière de durabilité " &amp; template_reporting_period_display &amp; " [si pertinent]"</f>
        <v>B1 - Informations sur les certifications ou labels en matière de durabilité du - au - [si pertinent]</v>
      </c>
      <c r="D96" s="618"/>
      <c r="E96" s="618"/>
      <c r="F96" s="618"/>
      <c r="G96" s="618"/>
      <c r="H96" s="619"/>
    </row>
    <row r="97" spans="3:13" ht="14.5" customHeight="1" x14ac:dyDescent="0.35">
      <c r="C97" s="499">
        <v>25</v>
      </c>
      <c r="D97" s="500"/>
      <c r="E97" s="500"/>
      <c r="F97" s="500"/>
      <c r="G97" s="500"/>
      <c r="H97" s="501"/>
    </row>
    <row r="98" spans="3:13" ht="14.5" customHeight="1" x14ac:dyDescent="0.35">
      <c r="C98" s="620">
        <v>77</v>
      </c>
      <c r="D98" s="621"/>
      <c r="E98" s="621"/>
      <c r="F98" s="621"/>
      <c r="G98" s="621"/>
      <c r="H98" s="622"/>
    </row>
    <row r="99" spans="3:13" ht="14.5" customHeight="1" x14ac:dyDescent="0.35">
      <c r="C99" s="607" t="s">
        <v>4064</v>
      </c>
      <c r="D99" s="608"/>
      <c r="E99" s="609" t="b">
        <v>0</v>
      </c>
      <c r="F99" s="610"/>
      <c r="G99" s="610"/>
      <c r="H99" s="611"/>
    </row>
    <row r="100" spans="3:13" ht="30" customHeight="1" thickBot="1" x14ac:dyDescent="0.4">
      <c r="C100" s="570" t="s">
        <v>4805</v>
      </c>
      <c r="D100" s="571"/>
      <c r="E100" s="540"/>
      <c r="F100" s="541"/>
      <c r="G100" s="541"/>
      <c r="H100" s="542"/>
      <c r="I100" s="15" t="str">
        <f>IF(AND(E99=TRUE,E100=""), "MISSING VALUE",IF(AND(E99=TRUE,E100&lt;&gt;""), "OK",""))</f>
        <v/>
      </c>
    </row>
    <row r="101" spans="3:13" ht="15" thickBot="1" x14ac:dyDescent="0.4"/>
    <row r="102" spans="3:13" x14ac:dyDescent="0.35">
      <c r="C102" s="586" t="str">
        <f xml:space="preserve"> "B1 - Liste des sites " &amp; template_reporting_period_display &amp; " [obligatoire]"</f>
        <v>B1 - Liste des sites du - au - [obligatoire]</v>
      </c>
      <c r="D102" s="587"/>
      <c r="E102" s="587"/>
      <c r="F102" s="587"/>
      <c r="G102" s="587"/>
      <c r="H102" s="588"/>
    </row>
    <row r="103" spans="3:13" x14ac:dyDescent="0.35">
      <c r="C103" s="499" t="s">
        <v>3916</v>
      </c>
      <c r="D103" s="500"/>
      <c r="E103" s="500"/>
      <c r="F103" s="500"/>
      <c r="G103" s="500"/>
      <c r="H103" s="501"/>
    </row>
    <row r="104" spans="3:13" x14ac:dyDescent="0.35">
      <c r="C104" s="612" t="s">
        <v>3913</v>
      </c>
      <c r="D104" s="613"/>
      <c r="E104" s="613"/>
      <c r="F104" s="613"/>
      <c r="G104" s="613"/>
      <c r="H104" s="614"/>
    </row>
    <row r="105" spans="3:13" x14ac:dyDescent="0.35">
      <c r="C105" s="507" t="s">
        <v>0</v>
      </c>
      <c r="D105" s="510" t="s">
        <v>4065</v>
      </c>
      <c r="E105" s="510" t="s">
        <v>4066</v>
      </c>
      <c r="F105" s="503" t="s">
        <v>4067</v>
      </c>
      <c r="G105" s="510" t="s">
        <v>4068</v>
      </c>
      <c r="H105" s="204" t="s">
        <v>4069</v>
      </c>
      <c r="I105" s="94"/>
    </row>
    <row r="106" spans="3:13" ht="141.65" customHeight="1" x14ac:dyDescent="0.35">
      <c r="C106" s="508"/>
      <c r="D106" s="511"/>
      <c r="E106" s="511"/>
      <c r="F106" s="513"/>
      <c r="G106" s="511"/>
      <c r="H106" s="205" t="s">
        <v>4767</v>
      </c>
      <c r="I106" s="94"/>
      <c r="J106" s="2"/>
    </row>
    <row r="107" spans="3:13" x14ac:dyDescent="0.35">
      <c r="C107" s="509"/>
      <c r="D107" s="512"/>
      <c r="E107" s="512"/>
      <c r="F107" s="504"/>
      <c r="G107" s="512"/>
      <c r="H107" s="385" t="b">
        <v>0</v>
      </c>
      <c r="I107" s="94"/>
    </row>
    <row r="108" spans="3:13" x14ac:dyDescent="0.35">
      <c r="C108" s="3">
        <v>1</v>
      </c>
      <c r="D108" s="66"/>
      <c r="E108" s="67"/>
      <c r="F108" s="68"/>
      <c r="G108" s="66"/>
      <c r="H108" s="196" t="str">
        <f>IF(COUNTA(D108:G108)=COLUMNS(D108:G108), IFERROR('Fiche technique'!G2, "-"), "-")</f>
        <v>-</v>
      </c>
      <c r="I108" s="16" t="str">
        <f>IF(OR(E32="Option A (Basic Module only)", E32="Option B (Basic Module and Comprehensive Module)"),
    IF(AND(D108&lt;&gt;"", E108&lt;&gt;"", F108&lt;&gt;"", G108&lt;&gt;"", H108&lt;&gt;""),
        "OK",
        "MISSING VALUE"
    ),
    ""
)</f>
        <v/>
      </c>
      <c r="J108" s="203" t="str">
        <f>IF(AND(D108&lt;&gt;"", E108&lt;&gt;"", F108&lt;&gt;"", G108&lt;&gt;""),
    IFERROR(HYPERLINK("https://www.openstreetmap.org/search?lat=" &amp; 'Fiche technique'!E2 &amp; "&amp;lon=" &amp; 'Fiche technique'!F2, "OpenStreetMap Link"),
    ""),
"")</f>
        <v/>
      </c>
      <c r="K108" s="95" t="str">
        <f t="shared" ref="K108:K132" si="4">LOWER(SUBSTITUTE(D108," ","+" )) &amp; "+" &amp; LOWER(SUBSTITUTE(E108," ","+" )) &amp; "+" &amp; LOWER(SUBSTITUTE(F108," ","+" )) &amp; "+" &amp; LOWER(SUBSTITUTE(G108," ","+" )) &amp; "+"</f>
        <v>++++</v>
      </c>
      <c r="M108" s="87"/>
    </row>
    <row r="109" spans="3:13" x14ac:dyDescent="0.35">
      <c r="C109" s="11">
        <v>2</v>
      </c>
      <c r="D109" s="69"/>
      <c r="E109" s="70"/>
      <c r="F109" s="71"/>
      <c r="G109" s="66"/>
      <c r="H109" s="196" t="str">
        <f>IF(COUNTA(D109:G109)=COLUMNS(D109:G109), IFERROR('Fiche technique'!G3, "-"), "-")</f>
        <v>-</v>
      </c>
      <c r="I109" s="16" t="str">
        <f>IF(AND(D109&lt;&gt;"", E109&lt;&gt;"", F109&lt;&gt;"", G109&lt;&gt;"", H109&lt;&gt;""), "OK",
    IF(AND(D109="", E109="", F109="", G109="", H109="-"), "",
        "MISSING VALUE"
    )
)</f>
        <v/>
      </c>
      <c r="J109" s="203" t="str">
        <f>IF(AND(D109&lt;&gt;"", E109&lt;&gt;"", F109&lt;&gt;"", G109&lt;&gt;""),
    IFERROR(HYPERLINK("https://www.openstreetmap.org/search?lat=" &amp; 'Fiche technique'!E3 &amp; "&amp;lon=" &amp; 'Fiche technique'!F3, "OpenStreetMap Link"),
    ""),
"")</f>
        <v/>
      </c>
      <c r="K109" s="95" t="str">
        <f>LOWER(SUBSTITUTE(D109," ","+" )) &amp; "+" &amp; LOWER(SUBSTITUTE(E109," ","+" )) &amp; "+" &amp; LOWER(SUBSTITUTE(F109," ","+" )) &amp; "+" &amp; LOWER(SUBSTITUTE(G109," ","+" )) &amp; "+"</f>
        <v>++++</v>
      </c>
    </row>
    <row r="110" spans="3:13" ht="15" thickBot="1" x14ac:dyDescent="0.4">
      <c r="C110" s="4">
        <v>3</v>
      </c>
      <c r="D110" s="72"/>
      <c r="E110" s="73"/>
      <c r="F110" s="74"/>
      <c r="G110" s="72"/>
      <c r="H110" s="197" t="str">
        <f>IF(COUNTA(D110:G110)=COLUMNS(D110:G110), IFERROR('Fiche technique'!G4, "-"), "-")</f>
        <v>-</v>
      </c>
      <c r="I110" s="16" t="str">
        <f>IF(AND(D110&lt;&gt;"", E110&lt;&gt;"", F110&lt;&gt;"", G110&lt;&gt;"", H110&lt;&gt;""), "OK",
    IF(AND(D110="", E110="", F110="", G110="", H110="-"), "",
        "MISSING VALUE"
    )
)</f>
        <v/>
      </c>
      <c r="J110" s="203" t="str">
        <f>IF(AND(D110&lt;&gt;"", E110&lt;&gt;"", F110&lt;&gt;"", G110&lt;&gt;""),
    IFERROR(HYPERLINK("https://www.openstreetmap.org/search?lat=" &amp; 'Fiche technique'!E4 &amp; "&amp;lon=" &amp; 'Fiche technique'!F4, "OpenStreetMap Link"),
    ""),
"")</f>
        <v/>
      </c>
      <c r="K110" s="95" t="str">
        <f>LOWER(SUBSTITUTE(D110," ","+" )) &amp; "+" &amp; LOWER(SUBSTITUTE(E110," ","+" )) &amp; "+" &amp; LOWER(SUBSTITUTE(F110," ","+" )) &amp; "+" &amp; LOWER(SUBSTITUTE(G110," ","+" )) &amp; "+"</f>
        <v>++++</v>
      </c>
    </row>
    <row r="111" spans="3:13" hidden="1" outlineLevel="1" x14ac:dyDescent="0.35">
      <c r="C111" s="11">
        <v>4</v>
      </c>
      <c r="D111" s="69"/>
      <c r="E111" s="70"/>
      <c r="F111" s="71"/>
      <c r="G111" s="69"/>
      <c r="H111" s="198" t="str">
        <f>IF(COUNTA(D111:G111)=COLUMNS(D111:G111), IFERROR('Fiche technique'!G5, "-"), "-")</f>
        <v>-</v>
      </c>
      <c r="I111" s="16" t="str">
        <f t="shared" ref="I111:I132" si="5">IF(AND(D111&lt;&gt;"", E111&lt;&gt;"", F111&lt;&gt;"", G111&lt;&gt;"", H111&lt;&gt;""), "OK",
    IF(AND(D111="", E111="", F111="", G111="", H111="-"), "",
        "MISSING VALUE"
    )
)</f>
        <v/>
      </c>
      <c r="J111" s="203" t="str">
        <f>IF(AND(D111&lt;&gt;"", E111&lt;&gt;"", F111&lt;&gt;"", G111&lt;&gt;""),
    IFERROR(HYPERLINK("https://www.openstreetmap.org/search?lat=" &amp; 'Fiche technique'!E5 &amp; "&amp;lon=" &amp; 'Fiche technique'!F5, "OpenStreetMap Link"),
    ""),
"")</f>
        <v/>
      </c>
      <c r="K111" s="95" t="str">
        <f t="shared" si="4"/>
        <v>++++</v>
      </c>
    </row>
    <row r="112" spans="3:13" hidden="1" outlineLevel="1" x14ac:dyDescent="0.35">
      <c r="C112" s="11">
        <v>5</v>
      </c>
      <c r="D112" s="66"/>
      <c r="E112" s="67"/>
      <c r="F112" s="68"/>
      <c r="G112" s="66"/>
      <c r="H112" s="196" t="str">
        <f>IF(COUNTA(D112:G112)=COLUMNS(D112:G112), IFERROR('Fiche technique'!G6, "-"), "-")</f>
        <v>-</v>
      </c>
      <c r="I112" s="16" t="str">
        <f t="shared" si="5"/>
        <v/>
      </c>
      <c r="J112" s="203" t="str">
        <f>IF(AND(D112&lt;&gt;"", E112&lt;&gt;"", F112&lt;&gt;"", G112&lt;&gt;""),
    IFERROR(HYPERLINK("https://www.openstreetmap.org/search?lat=" &amp; 'Fiche technique'!E6 &amp; "&amp;lon=" &amp; 'Fiche technique'!F6, "OpenStreetMap Link"),
    ""),
"")</f>
        <v/>
      </c>
      <c r="K112" s="95" t="str">
        <f t="shared" si="4"/>
        <v>++++</v>
      </c>
    </row>
    <row r="113" spans="3:11" hidden="1" outlineLevel="1" x14ac:dyDescent="0.35">
      <c r="C113" s="3">
        <v>6</v>
      </c>
      <c r="D113" s="66"/>
      <c r="E113" s="67"/>
      <c r="F113" s="68"/>
      <c r="G113" s="66"/>
      <c r="H113" s="196" t="str">
        <f>IF(COUNTA(D113:G113)=COLUMNS(D113:G113), IFERROR('Fiche technique'!G7, "-"), "-")</f>
        <v>-</v>
      </c>
      <c r="I113" s="16" t="str">
        <f t="shared" si="5"/>
        <v/>
      </c>
      <c r="J113" s="203" t="str">
        <f>IF(AND(D113&lt;&gt;"", E113&lt;&gt;"", F113&lt;&gt;"", G113&lt;&gt;""),
    IFERROR(HYPERLINK("https://www.openstreetmap.org/search?lat=" &amp; 'Fiche technique'!E7 &amp; "&amp;lon=" &amp; 'Fiche technique'!F7, "OpenStreetMap Link"),
    ""),
"")</f>
        <v/>
      </c>
      <c r="K113" s="95" t="str">
        <f t="shared" si="4"/>
        <v>++++</v>
      </c>
    </row>
    <row r="114" spans="3:11" hidden="1" outlineLevel="1" x14ac:dyDescent="0.35">
      <c r="C114" s="3">
        <v>7</v>
      </c>
      <c r="D114" s="66"/>
      <c r="E114" s="67"/>
      <c r="F114" s="68"/>
      <c r="G114" s="66"/>
      <c r="H114" s="196" t="str">
        <f>IF(COUNTA(D114:G114)=COLUMNS(D114:G114), IFERROR('Fiche technique'!G8, "-"), "-")</f>
        <v>-</v>
      </c>
      <c r="I114" s="16" t="str">
        <f t="shared" si="5"/>
        <v/>
      </c>
      <c r="J114" s="203" t="str">
        <f>IF(AND(D114&lt;&gt;"", E114&lt;&gt;"", F114&lt;&gt;"", G114&lt;&gt;""),
    IFERROR(HYPERLINK("https://www.openstreetmap.org/search?lat=" &amp; 'Fiche technique'!E8 &amp; "&amp;lon=" &amp; 'Fiche technique'!F8, "OpenStreetMap Link"),
    ""),
"")</f>
        <v/>
      </c>
      <c r="K114" s="95" t="str">
        <f t="shared" si="4"/>
        <v>++++</v>
      </c>
    </row>
    <row r="115" spans="3:11" hidden="1" outlineLevel="1" x14ac:dyDescent="0.35">
      <c r="C115" s="11">
        <v>8</v>
      </c>
      <c r="D115" s="66"/>
      <c r="E115" s="67"/>
      <c r="F115" s="68"/>
      <c r="G115" s="66"/>
      <c r="H115" s="196" t="str">
        <f>IF(COUNTA(D115:G115)=COLUMNS(D115:G115), IFERROR('Fiche technique'!G9, "-"), "-")</f>
        <v>-</v>
      </c>
      <c r="I115" s="16" t="str">
        <f t="shared" si="5"/>
        <v/>
      </c>
      <c r="J115" s="203" t="str">
        <f>IF(AND(D115&lt;&gt;"", E115&lt;&gt;"", F115&lt;&gt;"", G115&lt;&gt;""),
    IFERROR(HYPERLINK("https://www.openstreetmap.org/search?lat=" &amp; 'Fiche technique'!E9 &amp; "&amp;lon=" &amp; 'Fiche technique'!F9, "OpenStreetMap Link"),
    ""),
"")</f>
        <v/>
      </c>
      <c r="K115" s="95" t="str">
        <f t="shared" si="4"/>
        <v>++++</v>
      </c>
    </row>
    <row r="116" spans="3:11" hidden="1" outlineLevel="1" x14ac:dyDescent="0.35">
      <c r="C116" s="3">
        <v>9</v>
      </c>
      <c r="D116" s="66"/>
      <c r="E116" s="67"/>
      <c r="F116" s="68"/>
      <c r="G116" s="66"/>
      <c r="H116" s="196" t="str">
        <f>IF(COUNTA(D116:G116)=COLUMNS(D116:G116), IFERROR('Fiche technique'!G10, "-"), "-")</f>
        <v>-</v>
      </c>
      <c r="I116" s="16" t="str">
        <f t="shared" si="5"/>
        <v/>
      </c>
      <c r="J116" s="203" t="str">
        <f>IF(AND(D116&lt;&gt;"", E116&lt;&gt;"", F116&lt;&gt;"", G116&lt;&gt;""),
    IFERROR(HYPERLINK("https://www.openstreetmap.org/search?lat=" &amp; 'Fiche technique'!E10 &amp; "&amp;lon=" &amp; 'Fiche technique'!F10, "OpenStreetMap Link"),
    ""),
"")</f>
        <v/>
      </c>
      <c r="K116" s="95" t="str">
        <f t="shared" si="4"/>
        <v>++++</v>
      </c>
    </row>
    <row r="117" spans="3:11" hidden="1" outlineLevel="1" x14ac:dyDescent="0.35">
      <c r="C117" s="3">
        <v>10</v>
      </c>
      <c r="D117" s="66"/>
      <c r="E117" s="67"/>
      <c r="F117" s="68"/>
      <c r="G117" s="66"/>
      <c r="H117" s="196" t="str">
        <f>IF(COUNTA(D117:G117)=COLUMNS(D117:G117), IFERROR('Fiche technique'!G11, "-"), "-")</f>
        <v>-</v>
      </c>
      <c r="I117" s="16" t="str">
        <f t="shared" si="5"/>
        <v/>
      </c>
      <c r="J117" s="203" t="str">
        <f>IF(AND(D117&lt;&gt;"", E117&lt;&gt;"", F117&lt;&gt;"", G117&lt;&gt;""),
    IFERROR(HYPERLINK("https://www.openstreetmap.org/search?lat=" &amp; 'Fiche technique'!E11 &amp; "&amp;lon=" &amp; 'Fiche technique'!F11, "OpenStreetMap Link"),
    ""),
"")</f>
        <v/>
      </c>
      <c r="K117" s="95" t="str">
        <f t="shared" si="4"/>
        <v>++++</v>
      </c>
    </row>
    <row r="118" spans="3:11" hidden="1" outlineLevel="1" x14ac:dyDescent="0.35">
      <c r="C118" s="11">
        <v>11</v>
      </c>
      <c r="D118" s="66"/>
      <c r="E118" s="67"/>
      <c r="F118" s="68"/>
      <c r="G118" s="66"/>
      <c r="H118" s="196" t="str">
        <f>IF(COUNTA(D118:G118)=COLUMNS(D118:G118), IFERROR('Fiche technique'!G12, "-"), "-")</f>
        <v>-</v>
      </c>
      <c r="I118" s="16" t="str">
        <f t="shared" si="5"/>
        <v/>
      </c>
      <c r="J118" s="203" t="str">
        <f>IF(AND(D118&lt;&gt;"", E118&lt;&gt;"", F118&lt;&gt;"", G118&lt;&gt;""),
    IFERROR(HYPERLINK("https://www.openstreetmap.org/search?lat=" &amp; 'Fiche technique'!E12 &amp; "&amp;lon=" &amp; 'Fiche technique'!F12, "OpenStreetMap Link"),
    ""),
"")</f>
        <v/>
      </c>
      <c r="K118" s="95" t="str">
        <f t="shared" si="4"/>
        <v>++++</v>
      </c>
    </row>
    <row r="119" spans="3:11" hidden="1" outlineLevel="1" x14ac:dyDescent="0.35">
      <c r="C119" s="3">
        <v>12</v>
      </c>
      <c r="D119" s="66"/>
      <c r="E119" s="67"/>
      <c r="F119" s="68"/>
      <c r="G119" s="66"/>
      <c r="H119" s="196" t="str">
        <f>IF(COUNTA(D119:G119)=COLUMNS(D119:G119), IFERROR('Fiche technique'!G13, "-"), "-")</f>
        <v>-</v>
      </c>
      <c r="I119" s="16" t="str">
        <f t="shared" si="5"/>
        <v/>
      </c>
      <c r="J119" s="203" t="str">
        <f>IF(AND(D119&lt;&gt;"", E119&lt;&gt;"", F119&lt;&gt;"", G119&lt;&gt;""),
    IFERROR(HYPERLINK("https://www.openstreetmap.org/search?lat=" &amp; 'Fiche technique'!E13 &amp; "&amp;lon=" &amp; 'Fiche technique'!F13, "OpenStreetMap Link"),
    ""),
"")</f>
        <v/>
      </c>
      <c r="K119" s="95" t="str">
        <f t="shared" si="4"/>
        <v>++++</v>
      </c>
    </row>
    <row r="120" spans="3:11" hidden="1" outlineLevel="1" x14ac:dyDescent="0.35">
      <c r="C120" s="3">
        <v>13</v>
      </c>
      <c r="D120" s="66"/>
      <c r="E120" s="67"/>
      <c r="F120" s="68"/>
      <c r="G120" s="66"/>
      <c r="H120" s="196" t="str">
        <f>IF(COUNTA(D120:G120)=COLUMNS(D120:G120), IFERROR('Fiche technique'!G14, "-"), "-")</f>
        <v>-</v>
      </c>
      <c r="I120" s="16" t="str">
        <f t="shared" si="5"/>
        <v/>
      </c>
      <c r="J120" s="203" t="str">
        <f>IF(AND(D120&lt;&gt;"", E120&lt;&gt;"", F120&lt;&gt;"", G120&lt;&gt;""),
    IFERROR(HYPERLINK("https://www.openstreetmap.org/search?lat=" &amp; 'Fiche technique'!E14 &amp; "&amp;lon=" &amp; 'Fiche technique'!F14, "OpenStreetMap Link"),
    ""),
"")</f>
        <v/>
      </c>
      <c r="K120" s="95" t="str">
        <f t="shared" si="4"/>
        <v>++++</v>
      </c>
    </row>
    <row r="121" spans="3:11" hidden="1" outlineLevel="1" x14ac:dyDescent="0.35">
      <c r="C121" s="11">
        <v>14</v>
      </c>
      <c r="D121" s="66"/>
      <c r="E121" s="67"/>
      <c r="F121" s="68"/>
      <c r="G121" s="66"/>
      <c r="H121" s="196" t="str">
        <f>IF(COUNTA(D121:G121)=COLUMNS(D121:G121), IFERROR('Fiche technique'!G15, "-"), "-")</f>
        <v>-</v>
      </c>
      <c r="I121" s="16" t="str">
        <f t="shared" si="5"/>
        <v/>
      </c>
      <c r="J121" s="203" t="str">
        <f>IF(AND(D121&lt;&gt;"", E121&lt;&gt;"", F121&lt;&gt;"", G121&lt;&gt;""),
    IFERROR(HYPERLINK("https://www.openstreetmap.org/search?lat=" &amp; 'Fiche technique'!E15 &amp; "&amp;lon=" &amp; 'Fiche technique'!F15, "OpenStreetMap Link"),
    ""),
"")</f>
        <v/>
      </c>
      <c r="K121" s="95" t="str">
        <f t="shared" si="4"/>
        <v>++++</v>
      </c>
    </row>
    <row r="122" spans="3:11" hidden="1" outlineLevel="1" x14ac:dyDescent="0.35">
      <c r="C122" s="3">
        <v>15</v>
      </c>
      <c r="D122" s="66"/>
      <c r="E122" s="67"/>
      <c r="F122" s="68"/>
      <c r="G122" s="66"/>
      <c r="H122" s="196" t="str">
        <f>IF(COUNTA(D122:G122)=COLUMNS(D122:G122), IFERROR('Fiche technique'!G16, "-"), "-")</f>
        <v>-</v>
      </c>
      <c r="I122" s="16" t="str">
        <f t="shared" si="5"/>
        <v/>
      </c>
      <c r="J122" s="203" t="str">
        <f>IF(AND(D122&lt;&gt;"", E122&lt;&gt;"", F122&lt;&gt;"", G122&lt;&gt;""),
    IFERROR(HYPERLINK("https://www.openstreetmap.org/search?lat=" &amp; 'Fiche technique'!E16 &amp; "&amp;lon=" &amp; 'Fiche technique'!F16, "OpenStreetMap Link"),
    ""),
"")</f>
        <v/>
      </c>
      <c r="K122" s="95" t="str">
        <f t="shared" si="4"/>
        <v>++++</v>
      </c>
    </row>
    <row r="123" spans="3:11" hidden="1" outlineLevel="1" x14ac:dyDescent="0.35">
      <c r="C123" s="3">
        <v>16</v>
      </c>
      <c r="D123" s="66"/>
      <c r="E123" s="67"/>
      <c r="F123" s="68"/>
      <c r="G123" s="66"/>
      <c r="H123" s="196" t="str">
        <f>IF(COUNTA(D123:G123)=COLUMNS(D123:G123), IFERROR('Fiche technique'!G17, "-"), "-")</f>
        <v>-</v>
      </c>
      <c r="I123" s="16" t="str">
        <f t="shared" si="5"/>
        <v/>
      </c>
      <c r="J123" s="203" t="str">
        <f>IF(AND(D123&lt;&gt;"", E123&lt;&gt;"", F123&lt;&gt;"", G123&lt;&gt;""),
    IFERROR(HYPERLINK("https://www.openstreetmap.org/search?lat=" &amp; 'Fiche technique'!E17 &amp; "&amp;lon=" &amp; 'Fiche technique'!F17, "OpenStreetMap Link"),
    ""),
"")</f>
        <v/>
      </c>
      <c r="K123" s="95" t="str">
        <f t="shared" si="4"/>
        <v>++++</v>
      </c>
    </row>
    <row r="124" spans="3:11" hidden="1" outlineLevel="1" x14ac:dyDescent="0.35">
      <c r="C124" s="11">
        <v>17</v>
      </c>
      <c r="D124" s="66"/>
      <c r="E124" s="67"/>
      <c r="F124" s="68"/>
      <c r="G124" s="66"/>
      <c r="H124" s="196" t="str">
        <f>IF(COUNTA(D124:G124)=COLUMNS(D124:G124), IFERROR('Fiche technique'!G18, "-"), "-")</f>
        <v>-</v>
      </c>
      <c r="I124" s="16" t="str">
        <f t="shared" si="5"/>
        <v/>
      </c>
      <c r="J124" s="203" t="str">
        <f>IF(AND(D124&lt;&gt;"", E124&lt;&gt;"", F124&lt;&gt;"", G124&lt;&gt;""),
    IFERROR(HYPERLINK("https://www.openstreetmap.org/search?lat=" &amp; 'Fiche technique'!E18 &amp; "&amp;lon=" &amp; 'Fiche technique'!F18, "OpenStreetMap Link"),
    ""),
"")</f>
        <v/>
      </c>
      <c r="K124" s="95" t="str">
        <f t="shared" si="4"/>
        <v>++++</v>
      </c>
    </row>
    <row r="125" spans="3:11" hidden="1" outlineLevel="1" x14ac:dyDescent="0.35">
      <c r="C125" s="3">
        <v>18</v>
      </c>
      <c r="D125" s="66"/>
      <c r="E125" s="67"/>
      <c r="F125" s="68"/>
      <c r="G125" s="66"/>
      <c r="H125" s="196" t="str">
        <f>IF(COUNTA(D125:G125)=COLUMNS(D125:G125), IFERROR('Fiche technique'!G19, "-"), "-")</f>
        <v>-</v>
      </c>
      <c r="I125" s="16" t="str">
        <f t="shared" si="5"/>
        <v/>
      </c>
      <c r="J125" s="203" t="str">
        <f>IF(AND(D125&lt;&gt;"", E125&lt;&gt;"", F125&lt;&gt;"", G125&lt;&gt;""),
    IFERROR(HYPERLINK("https://www.openstreetmap.org/search?lat=" &amp; 'Fiche technique'!E19 &amp; "&amp;lon=" &amp; 'Fiche technique'!F19, "OpenStreetMap Link"),
    ""),
"")</f>
        <v/>
      </c>
      <c r="K125" s="95" t="str">
        <f t="shared" si="4"/>
        <v>++++</v>
      </c>
    </row>
    <row r="126" spans="3:11" hidden="1" outlineLevel="1" x14ac:dyDescent="0.35">
      <c r="C126" s="3">
        <v>19</v>
      </c>
      <c r="D126" s="66"/>
      <c r="E126" s="67"/>
      <c r="F126" s="68"/>
      <c r="G126" s="66"/>
      <c r="H126" s="196" t="str">
        <f>IF(COUNTA(D126:G126)=COLUMNS(D126:G126), IFERROR('Fiche technique'!G20, "-"), "-")</f>
        <v>-</v>
      </c>
      <c r="I126" s="16" t="str">
        <f t="shared" si="5"/>
        <v/>
      </c>
      <c r="J126" s="203" t="str">
        <f>IF(AND(D126&lt;&gt;"", E126&lt;&gt;"", F126&lt;&gt;"", G126&lt;&gt;""),
    IFERROR(HYPERLINK("https://www.openstreetmap.org/search?lat=" &amp; 'Fiche technique'!E20 &amp; "&amp;lon=" &amp; 'Fiche technique'!F20, "OpenStreetMap Link"),
    ""),
"")</f>
        <v/>
      </c>
      <c r="K126" s="95" t="str">
        <f t="shared" si="4"/>
        <v>++++</v>
      </c>
    </row>
    <row r="127" spans="3:11" hidden="1" outlineLevel="1" x14ac:dyDescent="0.35">
      <c r="C127" s="11">
        <v>20</v>
      </c>
      <c r="D127" s="66"/>
      <c r="E127" s="67"/>
      <c r="F127" s="68"/>
      <c r="G127" s="66"/>
      <c r="H127" s="196" t="str">
        <f>IF(COUNTA(D127:G127)=COLUMNS(D127:G127), IFERROR('Fiche technique'!G21, "-"), "-")</f>
        <v>-</v>
      </c>
      <c r="I127" s="16" t="str">
        <f t="shared" si="5"/>
        <v/>
      </c>
      <c r="J127" s="203" t="str">
        <f>IF(AND(D127&lt;&gt;"", E127&lt;&gt;"", F127&lt;&gt;"", G127&lt;&gt;""),
    IFERROR(HYPERLINK("https://www.openstreetmap.org/search?lat=" &amp; 'Fiche technique'!E21 &amp; "&amp;lon=" &amp; 'Fiche technique'!F21, "OpenStreetMap Link"),
    ""),
"")</f>
        <v/>
      </c>
      <c r="K127" s="95" t="str">
        <f t="shared" si="4"/>
        <v>++++</v>
      </c>
    </row>
    <row r="128" spans="3:11" hidden="1" outlineLevel="1" x14ac:dyDescent="0.35">
      <c r="C128" s="3">
        <v>21</v>
      </c>
      <c r="D128" s="66"/>
      <c r="E128" s="67"/>
      <c r="F128" s="68"/>
      <c r="G128" s="66"/>
      <c r="H128" s="196" t="str">
        <f>IF(COUNTA(D128:G128)=COLUMNS(D128:G128), IFERROR('Fiche technique'!G22, "-"), "-")</f>
        <v>-</v>
      </c>
      <c r="I128" s="16" t="str">
        <f t="shared" si="5"/>
        <v/>
      </c>
      <c r="J128" s="203" t="str">
        <f>IF(AND(D128&lt;&gt;"", E128&lt;&gt;"", F128&lt;&gt;"", G128&lt;&gt;""),
    IFERROR(HYPERLINK("https://www.openstreetmap.org/search?lat=" &amp; 'Fiche technique'!E22 &amp; "&amp;lon=" &amp; 'Fiche technique'!F22, "OpenStreetMap Link"),
    ""),
"")</f>
        <v/>
      </c>
      <c r="K128" s="95" t="str">
        <f t="shared" si="4"/>
        <v>++++</v>
      </c>
    </row>
    <row r="129" spans="3:17" hidden="1" outlineLevel="1" x14ac:dyDescent="0.35">
      <c r="C129" s="3">
        <v>22</v>
      </c>
      <c r="D129" s="66"/>
      <c r="E129" s="67"/>
      <c r="F129" s="68"/>
      <c r="G129" s="66"/>
      <c r="H129" s="196" t="str">
        <f>IF(COUNTA(D129:G129)=COLUMNS(D129:G129), IFERROR('Fiche technique'!G23, "-"), "-")</f>
        <v>-</v>
      </c>
      <c r="I129" s="16" t="str">
        <f t="shared" si="5"/>
        <v/>
      </c>
      <c r="J129" s="203" t="str">
        <f>IF(AND(D129&lt;&gt;"", E129&lt;&gt;"", F129&lt;&gt;"", G129&lt;&gt;""),
    IFERROR(HYPERLINK("https://www.openstreetmap.org/search?lat=" &amp; 'Fiche technique'!E23 &amp; "&amp;lon=" &amp; 'Fiche technique'!F23, "OpenStreetMap Link"),
    ""),
"")</f>
        <v/>
      </c>
      <c r="K129" s="95" t="str">
        <f t="shared" si="4"/>
        <v>++++</v>
      </c>
    </row>
    <row r="130" spans="3:17" hidden="1" outlineLevel="1" x14ac:dyDescent="0.35">
      <c r="C130" s="11">
        <v>23</v>
      </c>
      <c r="D130" s="66"/>
      <c r="E130" s="67"/>
      <c r="F130" s="68"/>
      <c r="G130" s="66"/>
      <c r="H130" s="196" t="str">
        <f>IF(COUNTA(D130:G130)=COLUMNS(D130:G130), IFERROR('Fiche technique'!G24, "-"), "-")</f>
        <v>-</v>
      </c>
      <c r="I130" s="16" t="str">
        <f t="shared" si="5"/>
        <v/>
      </c>
      <c r="J130" s="203" t="str">
        <f>IF(AND(D130&lt;&gt;"", E130&lt;&gt;"", F130&lt;&gt;"", G130&lt;&gt;""),
    IFERROR(HYPERLINK("https://www.openstreetmap.org/search?lat=" &amp; 'Fiche technique'!E24 &amp; "&amp;lon=" &amp; 'Fiche technique'!F24, "OpenStreetMap Link"),
    ""),
"")</f>
        <v/>
      </c>
      <c r="K130" s="95" t="str">
        <f t="shared" si="4"/>
        <v>++++</v>
      </c>
    </row>
    <row r="131" spans="3:17" hidden="1" outlineLevel="1" x14ac:dyDescent="0.35">
      <c r="C131" s="45">
        <v>24</v>
      </c>
      <c r="D131" s="75"/>
      <c r="E131" s="76"/>
      <c r="F131" s="77"/>
      <c r="G131" s="75"/>
      <c r="H131" s="196" t="str">
        <f>IF(COUNTA(D131:G131)=COLUMNS(D131:G131), IFERROR('Fiche technique'!G25, "-"), "-")</f>
        <v>-</v>
      </c>
      <c r="I131" s="16" t="str">
        <f t="shared" si="5"/>
        <v/>
      </c>
      <c r="J131" s="203" t="str">
        <f>IF(AND(D131&lt;&gt;"", E131&lt;&gt;"", F131&lt;&gt;"", G131&lt;&gt;""),
    IFERROR(HYPERLINK("https://www.openstreetmap.org/search?lat=" &amp; 'Fiche technique'!E25 &amp; "&amp;lon=" &amp; 'Fiche technique'!F25, "OpenStreetMap Link"),
    ""),
"")</f>
        <v/>
      </c>
      <c r="K131" s="95" t="str">
        <f t="shared" si="4"/>
        <v>++++</v>
      </c>
    </row>
    <row r="132" spans="3:17" ht="15" hidden="1" outlineLevel="1" thickBot="1" x14ac:dyDescent="0.4">
      <c r="C132" s="4">
        <v>25</v>
      </c>
      <c r="D132" s="72"/>
      <c r="E132" s="73"/>
      <c r="F132" s="74"/>
      <c r="G132" s="72"/>
      <c r="H132" s="197" t="str">
        <f>IF(COUNTA(D132:G132)=COLUMNS(D132:G132), IFERROR('Fiche technique'!G26, "-"), "-")</f>
        <v>-</v>
      </c>
      <c r="I132" s="16" t="str">
        <f t="shared" si="5"/>
        <v/>
      </c>
      <c r="J132" s="203" t="str">
        <f>IF(AND(D132&lt;&gt;"", E132&lt;&gt;"", F132&lt;&gt;"", G132&lt;&gt;""),
    IFERROR(HYPERLINK("https://www.openstreetmap.org/search?lat=" &amp; 'Fiche technique'!E26 &amp; "&amp;lon=" &amp; 'Fiche technique'!F26, "OpenStreetMap Link"),
    ""),
"")</f>
        <v/>
      </c>
      <c r="K132" s="95" t="str">
        <f t="shared" si="4"/>
        <v>++++</v>
      </c>
    </row>
    <row r="133" spans="3:17" ht="15" customHeight="1" collapsed="1" thickBot="1" x14ac:dyDescent="0.4"/>
    <row r="134" spans="3:17" ht="38.15" customHeight="1" x14ac:dyDescent="0.35">
      <c r="C134" s="543" t="str">
        <f xml:space="preserve"> "B2 – Pratiques, politiques et initiatives futures pour une transition vers une économie plus durable " &amp; template_reporting_period_display &amp; " [si pertinent]"</f>
        <v>B2 – Pratiques, politiques et initiatives futures pour une transition vers une économie plus durable du - au - [si pertinent]</v>
      </c>
      <c r="D134" s="544"/>
      <c r="E134" s="544"/>
      <c r="F134" s="544"/>
      <c r="G134" s="544"/>
      <c r="H134" s="544"/>
      <c r="I134" s="544"/>
      <c r="J134" s="544"/>
      <c r="K134" s="544"/>
      <c r="L134" s="544"/>
      <c r="M134" s="544"/>
      <c r="N134" s="544"/>
      <c r="O134" s="545"/>
    </row>
    <row r="135" spans="3:17" s="8" customFormat="1" x14ac:dyDescent="0.35">
      <c r="C135" s="499" t="s">
        <v>3917</v>
      </c>
      <c r="D135" s="500"/>
      <c r="E135" s="500"/>
      <c r="F135" s="500"/>
      <c r="G135" s="500"/>
      <c r="H135" s="500"/>
      <c r="I135" s="500"/>
      <c r="J135" s="500"/>
      <c r="K135" s="500"/>
      <c r="L135" s="500"/>
      <c r="M135" s="500"/>
      <c r="N135" s="500"/>
      <c r="O135" s="501"/>
      <c r="P135"/>
      <c r="Q135"/>
    </row>
    <row r="136" spans="3:17" x14ac:dyDescent="0.35">
      <c r="C136" s="612" t="s">
        <v>3918</v>
      </c>
      <c r="D136" s="613"/>
      <c r="E136" s="613"/>
      <c r="F136" s="613"/>
      <c r="G136" s="613"/>
      <c r="H136" s="613"/>
      <c r="I136" s="613"/>
      <c r="J136" s="613"/>
      <c r="K136" s="613"/>
      <c r="L136" s="613"/>
      <c r="M136" s="613"/>
      <c r="N136" s="613"/>
      <c r="O136" s="614"/>
    </row>
    <row r="137" spans="3:17" x14ac:dyDescent="0.35">
      <c r="C137" s="603" t="s">
        <v>4070</v>
      </c>
      <c r="D137" s="502" t="s">
        <v>4806</v>
      </c>
      <c r="E137" s="502"/>
      <c r="F137" s="502"/>
      <c r="G137" s="502"/>
      <c r="H137" s="502"/>
      <c r="I137" s="502"/>
      <c r="J137" s="502"/>
      <c r="K137" s="502"/>
      <c r="L137" s="502"/>
      <c r="M137" s="502"/>
      <c r="N137" s="503" t="s">
        <v>4080</v>
      </c>
      <c r="O137" s="505" t="s">
        <v>4807</v>
      </c>
    </row>
    <row r="138" spans="3:17" ht="41.5" customHeight="1" x14ac:dyDescent="0.35">
      <c r="C138" s="604"/>
      <c r="D138" s="83" t="s">
        <v>4071</v>
      </c>
      <c r="E138" s="83" t="s">
        <v>2965</v>
      </c>
      <c r="F138" s="83" t="s">
        <v>4072</v>
      </c>
      <c r="G138" s="83" t="s">
        <v>4073</v>
      </c>
      <c r="H138" s="83" t="s">
        <v>4074</v>
      </c>
      <c r="I138" s="83" t="s">
        <v>4075</v>
      </c>
      <c r="J138" s="83" t="s">
        <v>4076</v>
      </c>
      <c r="K138" s="83" t="s">
        <v>4077</v>
      </c>
      <c r="L138" s="83" t="s">
        <v>4078</v>
      </c>
      <c r="M138" s="83" t="s">
        <v>4079</v>
      </c>
      <c r="N138" s="504"/>
      <c r="O138" s="506"/>
    </row>
    <row r="139" spans="3:17" ht="15" thickBot="1" x14ac:dyDescent="0.4">
      <c r="C139" s="195" t="b">
        <v>0</v>
      </c>
      <c r="D139" s="194" t="b">
        <v>0</v>
      </c>
      <c r="E139" s="192" t="b">
        <v>0</v>
      </c>
      <c r="F139" s="192" t="b">
        <v>0</v>
      </c>
      <c r="G139" s="192" t="b">
        <v>0</v>
      </c>
      <c r="H139" s="192" t="b">
        <v>0</v>
      </c>
      <c r="I139" s="192" t="b">
        <v>0</v>
      </c>
      <c r="J139" s="192" t="b">
        <v>0</v>
      </c>
      <c r="K139" s="192" t="b">
        <v>0</v>
      </c>
      <c r="L139" s="192" t="b">
        <v>0</v>
      </c>
      <c r="M139" s="192" t="b">
        <v>0</v>
      </c>
      <c r="N139" s="192" t="b">
        <v>0</v>
      </c>
      <c r="O139" s="193" t="b">
        <v>0</v>
      </c>
      <c r="P139" s="15" t="str">
        <f>IF(C139=TRUE, IF(COUNTIF(D139:M139, TRUE)&gt;0, "OK", "MISSING VALUE"), "")</f>
        <v/>
      </c>
    </row>
    <row r="140" spans="3:17" ht="57.4" customHeight="1" thickBot="1" x14ac:dyDescent="0.4">
      <c r="F140"/>
    </row>
    <row r="141" spans="3:17" x14ac:dyDescent="0.35">
      <c r="C141" s="615" t="str">
        <f xml:space="preserve"> "B2 - Informations spécifiques aux coopératives " &amp; template_reporting_period_display &amp; " [si pertinent]"</f>
        <v>B2 - Informations spécifiques aux coopératives du - au - [si pertinent]</v>
      </c>
      <c r="D141" s="616"/>
      <c r="F141"/>
    </row>
    <row r="142" spans="3:17" x14ac:dyDescent="0.35">
      <c r="C142" s="623">
        <v>79</v>
      </c>
      <c r="D142" s="624"/>
      <c r="F142"/>
    </row>
    <row r="143" spans="3:17" ht="29" x14ac:dyDescent="0.35">
      <c r="C143" s="267" t="s">
        <v>4081</v>
      </c>
      <c r="D143" s="303"/>
      <c r="E143" s="15" t="str">
        <f>IF(AND(D143&lt;&gt;"",UndertakingsLegalForm="cooperative"),"OK","")</f>
        <v/>
      </c>
      <c r="F143"/>
    </row>
    <row r="144" spans="3:17" ht="43.5" x14ac:dyDescent="0.35">
      <c r="C144" s="267" t="s">
        <v>4082</v>
      </c>
      <c r="D144" s="304"/>
      <c r="E144" s="15" t="str">
        <f>IF(AND(D144&lt;&gt;"",UndertakingsLegalForm="cooperative"),"OK","")</f>
        <v/>
      </c>
      <c r="F144"/>
    </row>
    <row r="145" spans="1:8" ht="57.4" customHeight="1" thickBot="1" x14ac:dyDescent="0.4">
      <c r="C145" s="112" t="s">
        <v>4083</v>
      </c>
      <c r="D145" s="305"/>
      <c r="E145" s="15" t="str">
        <f>IF(AND(D145&lt;&gt;"",UndertakingsLegalForm="cooperative"),"OK","")</f>
        <v/>
      </c>
      <c r="F145"/>
    </row>
    <row r="146" spans="1:8" ht="49.9" customHeight="1" thickBot="1" x14ac:dyDescent="0.4">
      <c r="F146"/>
    </row>
    <row r="147" spans="1:8" x14ac:dyDescent="0.35">
      <c r="C147" s="600" t="str">
        <f>"C2 – Description des pratiques, des politiques et des initiatives futures pour une transition vers une économie plus durable " &amp; template_reporting_period_display &amp; " [si pertinent en lien avec B2]"</f>
        <v>C2 – Description des pratiques, des politiques et des initiatives futures pour une transition vers une économie plus durable du - au - [si pertinent en lien avec B2]</v>
      </c>
      <c r="D147" s="601"/>
      <c r="E147" s="601"/>
      <c r="F147" s="601"/>
      <c r="G147" s="602"/>
    </row>
    <row r="148" spans="1:8" ht="37.9" customHeight="1" x14ac:dyDescent="0.35">
      <c r="A148" s="251">
        <v>48</v>
      </c>
      <c r="B148" s="252">
        <v>213</v>
      </c>
      <c r="C148" s="575" t="s">
        <v>4084</v>
      </c>
      <c r="D148" s="576"/>
      <c r="E148" s="632"/>
      <c r="F148" s="633"/>
      <c r="G148" s="634"/>
      <c r="H148" s="15" t="str">
        <f>IF(AND(BasisForPreparation="Option B (Basic Module and Comprehensive Module)", C139=TRUE, DescriptionOfPracticesPoliciesAndOrFutureInitiatives=""), "MISSING VALUE",
IF(AND(BasisForPreparation="Option B (Basic Module and Comprehensive Module)", C139=TRUE, DescriptionOfPracticesPoliciesAndOrFutureInitiatives&lt;&gt;""), "OK",
IF(AND(BasisForPreparation="Option A (Basic Module only)", E148&lt;&gt;""), "OK", "")))</f>
        <v/>
      </c>
    </row>
    <row r="149" spans="1:8" ht="30" customHeight="1" x14ac:dyDescent="0.35">
      <c r="A149" s="239" t="s">
        <v>4089</v>
      </c>
      <c r="B149" s="252">
        <v>213</v>
      </c>
      <c r="C149" s="605" t="s">
        <v>4085</v>
      </c>
      <c r="D149" s="606"/>
      <c r="E149" s="632"/>
      <c r="F149" s="633"/>
      <c r="G149" s="634"/>
      <c r="H149" s="15" t="str">
        <f>IF(AND(BasisForPreparation="Option B (Basic Module and Comprehensive Module)", C139=TRUE, O139=TRUE, E149=""), "MISSING VALUE",
IF(AND(BasisForPreparation="Option B (Basic Module and Comprehensive Module)", C139=TRUE, O139=TRUE, E149&lt;&gt;""), "OK",
IF(AND(BasisForPreparation="Option A (Basic Module only)", E149&lt;&gt;""), "OK", "")))</f>
        <v/>
      </c>
    </row>
    <row r="150" spans="1:8" ht="30" customHeight="1" thickBot="1" x14ac:dyDescent="0.4">
      <c r="A150" s="251">
        <v>49</v>
      </c>
      <c r="B150" s="252">
        <v>213</v>
      </c>
      <c r="C150" s="532" t="s">
        <v>4768</v>
      </c>
      <c r="D150" s="533"/>
      <c r="E150" s="635"/>
      <c r="F150" s="636"/>
      <c r="G150" s="637"/>
      <c r="H150" s="15" t="str">
        <f>IF(AND(BasisForPreparation="Option B (Basic Module and Comprehensive Module)", C139=TRUE, MostSeniorLevelAccountableForImplementationOfPracticesPoliciesAndOrFutureInitiatives=""), "MISSING VALUE",
IF(AND(BasisForPreparation="Option B (Basic Module and Comprehensive Module)", C139=TRUE, MostSeniorLevelAccountableForImplementationOfPracticesPoliciesAndOrFutureInitiatives&lt;&gt;""), "OK",
IF(AND(BasisForPreparation="Option A (Basic Module only)", E150&lt;&gt;""), "OK", "")))</f>
        <v/>
      </c>
    </row>
    <row r="151" spans="1:8" ht="14.65" customHeight="1" x14ac:dyDescent="0.35">
      <c r="F151"/>
    </row>
    <row r="152" spans="1:8" ht="14.65" customHeight="1" thickBot="1" x14ac:dyDescent="0.4">
      <c r="F152"/>
    </row>
    <row r="153" spans="1:8" ht="14.9" customHeight="1" x14ac:dyDescent="0.35">
      <c r="C153" s="600" t="str">
        <f xml:space="preserve"> "C1 – Stratégie : modèle économique et initiatives liées à la durabilité " &amp; template_reporting_period_display &amp; " [obligatoire]"</f>
        <v>C1 – Stratégie : modèle économique et initiatives liées à la durabilité du - au - [obligatoire]</v>
      </c>
      <c r="D153" s="601"/>
      <c r="E153" s="601"/>
      <c r="F153" s="601"/>
      <c r="G153" s="602"/>
    </row>
    <row r="154" spans="1:8" x14ac:dyDescent="0.35">
      <c r="A154" s="248" t="s">
        <v>3919</v>
      </c>
      <c r="B154" s="239" t="s">
        <v>4089</v>
      </c>
      <c r="C154" s="536" t="s">
        <v>4086</v>
      </c>
      <c r="D154" s="537"/>
      <c r="E154" s="523"/>
      <c r="F154" s="524"/>
      <c r="G154" s="525"/>
      <c r="H154" s="15" t="str">
        <f>IF(AND($E$32="Option B (Basic Module and Comprehensive Module)", E154=""), "MISSING VALUE",
   IF(AND($E$32="Option A (Basic Module only)", E154&lt;&gt;""), "OK",
   IF(AND($E$32="Option B (Basic Module and Comprehensive Module)", E154&lt;&gt;""), "OK", "")))</f>
        <v/>
      </c>
    </row>
    <row r="155" spans="1:8" x14ac:dyDescent="0.35">
      <c r="A155" s="248" t="s">
        <v>3920</v>
      </c>
      <c r="B155" s="239" t="s">
        <v>4089</v>
      </c>
      <c r="C155" s="538" t="s">
        <v>4087</v>
      </c>
      <c r="D155" s="539"/>
      <c r="E155" s="526"/>
      <c r="F155" s="526"/>
      <c r="G155" s="527"/>
      <c r="H155" s="15" t="str">
        <f>IF(AND($E$32="Option B (Basic Module and Comprehensive Module)", E155=""), "MISSING VALUE",
   IF(AND($E$32="Option A (Basic Module only)", E155&lt;&gt;""), "OK",
   IF(AND($E$32="Option B (Basic Module and Comprehensive Module)", E155&lt;&gt;""), "OK", "")))</f>
        <v/>
      </c>
    </row>
    <row r="156" spans="1:8" ht="32.25" customHeight="1" thickBot="1" x14ac:dyDescent="0.4">
      <c r="A156" s="248" t="s">
        <v>3921</v>
      </c>
      <c r="B156" s="250">
        <v>212</v>
      </c>
      <c r="C156" s="534" t="s">
        <v>4088</v>
      </c>
      <c r="D156" s="535"/>
      <c r="E156" s="528"/>
      <c r="F156" s="528"/>
      <c r="G156" s="529"/>
      <c r="H156" s="15" t="str">
        <f>IF(AND($E$32="Option B (Basic Module and Comprehensive Module)", E156=""), "MISSING VALUE",
   IF(AND($E$32="Option A (Basic Module only)", E156&lt;&gt;""), "OK",
   IF(AND($E$32="Option B (Basic Module and Comprehensive Module)", E156&lt;&gt;""), "OK", "")))</f>
        <v/>
      </c>
    </row>
    <row r="157" spans="1:8" ht="27" customHeight="1" thickBot="1" x14ac:dyDescent="0.4">
      <c r="F157"/>
    </row>
    <row r="158" spans="1:8" x14ac:dyDescent="0.35">
      <c r="C158" s="629" t="str">
        <f xml:space="preserve"> "C1 – Stratégie : modèle économique et initiatives liées à la durabilité " &amp; template_reporting_period_display &amp; " [si pertinent]"</f>
        <v>C1 – Stratégie : modèle économique et initiatives liées à la durabilité du - au - [si pertinent]</v>
      </c>
      <c r="D158" s="630"/>
      <c r="E158" s="630"/>
      <c r="F158" s="630"/>
      <c r="G158" s="631"/>
    </row>
    <row r="159" spans="1:8" x14ac:dyDescent="0.35">
      <c r="C159" s="625" t="s">
        <v>4808</v>
      </c>
      <c r="D159" s="626"/>
      <c r="E159" s="627" t="b">
        <v>0</v>
      </c>
      <c r="F159" s="627"/>
      <c r="G159" s="628"/>
    </row>
    <row r="160" spans="1:8" ht="15" thickBot="1" x14ac:dyDescent="0.4">
      <c r="A160" s="248" t="s">
        <v>3922</v>
      </c>
      <c r="B160" s="239" t="s">
        <v>4089</v>
      </c>
      <c r="C160" s="532" t="s">
        <v>4809</v>
      </c>
      <c r="D160" s="533"/>
      <c r="E160" s="530"/>
      <c r="F160" s="530"/>
      <c r="G160" s="531"/>
      <c r="H160" s="15" t="str">
        <f>IF(AND($E$32="Option B (Basic Module and Comprehensive Module)", E160="",E159=TRUE), "MISSING VALUE",
   IF(AND($E$32="Option A (Basic Module only)", E160&lt;&gt;"",E159=TRUE), "OK",
   IF(AND($E$32="Option B (Basic Module and Comprehensive Module)", E160&lt;&gt;"",E159=TRUE), "OK", "")))</f>
        <v/>
      </c>
    </row>
    <row r="161" spans="2:15" ht="15" thickBot="1" x14ac:dyDescent="0.4"/>
    <row r="162" spans="2:15" ht="14.9" customHeight="1" x14ac:dyDescent="0.35">
      <c r="C162" s="520" t="str">
        <f xml:space="preserve"> "Autres informations générales ou informations spécifiques à l'entité pour la période de référence " &amp; template_reporting_period_display &amp; " [facultatif] "</f>
        <v xml:space="preserve">Autres informations générales ou informations spécifiques à l'entité pour la période de référence du - au - [facultatif] </v>
      </c>
      <c r="D162" s="521"/>
      <c r="E162" s="521"/>
      <c r="F162" s="521"/>
      <c r="G162" s="521"/>
      <c r="H162" s="522"/>
      <c r="I162" s="8"/>
      <c r="J162" s="8"/>
      <c r="K162" s="8"/>
      <c r="L162" s="8"/>
      <c r="M162" s="8"/>
      <c r="N162" s="8"/>
      <c r="O162" s="8"/>
    </row>
    <row r="163" spans="2:15" ht="14.9" customHeight="1" x14ac:dyDescent="0.35">
      <c r="B163" s="240"/>
      <c r="C163" s="518">
        <v>10</v>
      </c>
      <c r="D163" s="518"/>
      <c r="E163" s="518"/>
      <c r="F163" s="518"/>
      <c r="G163" s="518"/>
      <c r="H163" s="519"/>
      <c r="I163" s="8"/>
      <c r="J163" s="8"/>
      <c r="K163" s="8"/>
      <c r="L163" s="8"/>
      <c r="M163" s="8"/>
      <c r="N163" s="8"/>
      <c r="O163" s="8"/>
    </row>
    <row r="164" spans="2:15" ht="15" thickBot="1" x14ac:dyDescent="0.4">
      <c r="C164" s="514"/>
      <c r="D164" s="515"/>
      <c r="E164" s="515"/>
      <c r="F164" s="515"/>
      <c r="G164" s="515"/>
      <c r="H164" s="515"/>
      <c r="I164" s="85" t="str">
        <f>IF(C164&lt;&gt;"", "OK", "")</f>
        <v/>
      </c>
    </row>
  </sheetData>
  <sheetProtection formatColumns="0" formatRows="0" insertRows="0"/>
  <mergeCells count="83">
    <mergeCell ref="C142:D142"/>
    <mergeCell ref="C159:D159"/>
    <mergeCell ref="E159:G159"/>
    <mergeCell ref="C158:G158"/>
    <mergeCell ref="C150:D150"/>
    <mergeCell ref="E148:G148"/>
    <mergeCell ref="E150:G150"/>
    <mergeCell ref="C147:G147"/>
    <mergeCell ref="E149:G149"/>
    <mergeCell ref="C148:D148"/>
    <mergeCell ref="C149:D149"/>
    <mergeCell ref="F6:F8"/>
    <mergeCell ref="C31:E31"/>
    <mergeCell ref="C33:D41"/>
    <mergeCell ref="C153:G153"/>
    <mergeCell ref="C137:C138"/>
    <mergeCell ref="C63:D63"/>
    <mergeCell ref="C99:D99"/>
    <mergeCell ref="E99:H99"/>
    <mergeCell ref="C104:H104"/>
    <mergeCell ref="C103:H103"/>
    <mergeCell ref="C102:H102"/>
    <mergeCell ref="C141:D141"/>
    <mergeCell ref="C96:H96"/>
    <mergeCell ref="C98:H98"/>
    <mergeCell ref="F10:F12"/>
    <mergeCell ref="C136:O136"/>
    <mergeCell ref="C2:E2"/>
    <mergeCell ref="C100:D100"/>
    <mergeCell ref="C16:E16"/>
    <mergeCell ref="C32:D32"/>
    <mergeCell ref="C18:D18"/>
    <mergeCell ref="C61:D61"/>
    <mergeCell ref="C62:D62"/>
    <mergeCell ref="C17:E17"/>
    <mergeCell ref="C42:D42"/>
    <mergeCell ref="C19:D28"/>
    <mergeCell ref="C67:E67"/>
    <mergeCell ref="D3:E3"/>
    <mergeCell ref="D5:E5"/>
    <mergeCell ref="D6:E6"/>
    <mergeCell ref="D7:E7"/>
    <mergeCell ref="D8:E8"/>
    <mergeCell ref="A43:A44"/>
    <mergeCell ref="B43:B44"/>
    <mergeCell ref="C44:D44"/>
    <mergeCell ref="C43:D43"/>
    <mergeCell ref="D9:E9"/>
    <mergeCell ref="D10:E10"/>
    <mergeCell ref="D11:E11"/>
    <mergeCell ref="D12:E12"/>
    <mergeCell ref="D13:E13"/>
    <mergeCell ref="A45:A59"/>
    <mergeCell ref="B45:B59"/>
    <mergeCell ref="C45:D59"/>
    <mergeCell ref="C64:D64"/>
    <mergeCell ref="C65:D65"/>
    <mergeCell ref="C60:D60"/>
    <mergeCell ref="C164:H164"/>
    <mergeCell ref="C29:D29"/>
    <mergeCell ref="C163:H163"/>
    <mergeCell ref="C162:H162"/>
    <mergeCell ref="E154:G154"/>
    <mergeCell ref="E155:G155"/>
    <mergeCell ref="E156:G156"/>
    <mergeCell ref="E160:G160"/>
    <mergeCell ref="C160:D160"/>
    <mergeCell ref="C156:D156"/>
    <mergeCell ref="C154:D154"/>
    <mergeCell ref="C155:D155"/>
    <mergeCell ref="C97:H97"/>
    <mergeCell ref="C68:E68"/>
    <mergeCell ref="E100:H100"/>
    <mergeCell ref="C134:O134"/>
    <mergeCell ref="C135:O135"/>
    <mergeCell ref="D137:M137"/>
    <mergeCell ref="N137:N138"/>
    <mergeCell ref="O137:O138"/>
    <mergeCell ref="C105:C107"/>
    <mergeCell ref="G105:G107"/>
    <mergeCell ref="F105:F107"/>
    <mergeCell ref="E105:E107"/>
    <mergeCell ref="D105:D107"/>
  </mergeCells>
  <phoneticPr fontId="3" type="noConversion"/>
  <conditionalFormatting sqref="C19 C29:D29">
    <cfRule type="expression" dxfId="371" priority="87">
      <formula>$E$18=TRUE</formula>
    </cfRule>
  </conditionalFormatting>
  <conditionalFormatting sqref="C44">
    <cfRule type="expression" dxfId="370" priority="103">
      <formula>$E$43="other (please specify the legal form in the row below)"</formula>
    </cfRule>
  </conditionalFormatting>
  <conditionalFormatting sqref="D143:D145">
    <cfRule type="expression" dxfId="369" priority="8">
      <formula>$E$43="cooperative"</formula>
    </cfRule>
  </conditionalFormatting>
  <conditionalFormatting sqref="D70:E94">
    <cfRule type="expression" dxfId="368" priority="55">
      <formula>$E$42="Sustainability report prepared on a consolidated basis"</formula>
    </cfRule>
  </conditionalFormatting>
  <conditionalFormatting sqref="D139:O139 E148 E150">
    <cfRule type="expression" dxfId="367" priority="17">
      <formula>$C$139=TRUE</formula>
    </cfRule>
  </conditionalFormatting>
  <conditionalFormatting sqref="D139:O139">
    <cfRule type="expression" dxfId="366" priority="27">
      <formula>$C$139=TRUE</formula>
    </cfRule>
  </conditionalFormatting>
  <conditionalFormatting sqref="E19:E28">
    <cfRule type="expression" dxfId="365" priority="141">
      <formula>AND(ISBLANK(#REF!), $E$18=TRUE)</formula>
    </cfRule>
  </conditionalFormatting>
  <conditionalFormatting sqref="E19:E29">
    <cfRule type="expression" dxfId="364" priority="1">
      <formula>$E$18=TRUE</formula>
    </cfRule>
  </conditionalFormatting>
  <conditionalFormatting sqref="E34:E41">
    <cfRule type="expression" dxfId="363" priority="76">
      <formula>AND(ISBLANK(#REF!), $E$18=TRUE)</formula>
    </cfRule>
    <cfRule type="expression" dxfId="362" priority="75">
      <formula>$E$18=TRUE</formula>
    </cfRule>
  </conditionalFormatting>
  <conditionalFormatting sqref="E44">
    <cfRule type="expression" dxfId="361" priority="102">
      <formula>$E$43="other (please specify the legal form in the row below)"</formula>
    </cfRule>
  </conditionalFormatting>
  <conditionalFormatting sqref="E99">
    <cfRule type="expression" dxfId="360" priority="53">
      <formula>$D$81="YES"</formula>
    </cfRule>
  </conditionalFormatting>
  <conditionalFormatting sqref="E143:E145">
    <cfRule type="expression" dxfId="359" priority="11">
      <formula>$E143="OK"</formula>
    </cfRule>
  </conditionalFormatting>
  <conditionalFormatting sqref="E149:G149">
    <cfRule type="expression" dxfId="358" priority="371">
      <formula>AND($C$139=TRUE,$O$139=TRUE)</formula>
    </cfRule>
  </conditionalFormatting>
  <conditionalFormatting sqref="E160:G160">
    <cfRule type="expression" dxfId="357" priority="44">
      <formula>$E$159=TRUE</formula>
    </cfRule>
  </conditionalFormatting>
  <conditionalFormatting sqref="E100:H100">
    <cfRule type="expression" dxfId="356" priority="52">
      <formula>$E$99=TRUE</formula>
    </cfRule>
  </conditionalFormatting>
  <conditionalFormatting sqref="F3:F5 F70:F94">
    <cfRule type="expression" dxfId="355" priority="146">
      <formula>$F3="OK"</formula>
    </cfRule>
    <cfRule type="expression" dxfId="354" priority="147">
      <formula>$F3="MISSING VALUE"</formula>
    </cfRule>
  </conditionalFormatting>
  <conditionalFormatting sqref="F6:F8">
    <cfRule type="expression" dxfId="353" priority="2">
      <formula>$F$6="ERROR"</formula>
    </cfRule>
    <cfRule type="expression" dxfId="352" priority="57">
      <formula>$F$6="VALUE INCONSISTENCY"</formula>
    </cfRule>
    <cfRule type="expression" dxfId="351" priority="59">
      <formula>$F$6="OK"</formula>
    </cfRule>
    <cfRule type="expression" dxfId="350" priority="60">
      <formula>$F$6="MISSING VALUE"</formula>
    </cfRule>
  </conditionalFormatting>
  <conditionalFormatting sqref="F10">
    <cfRule type="expression" dxfId="349" priority="63">
      <formula>$F$10="OK"</formula>
    </cfRule>
    <cfRule type="expression" dxfId="348" priority="56">
      <formula>$F$10="ERROR"</formula>
    </cfRule>
    <cfRule type="expression" dxfId="347" priority="61">
      <formula>$F$10="MISSING VALUE"</formula>
    </cfRule>
    <cfRule type="expression" dxfId="346" priority="62">
      <formula>$F$10="VALUE INCONSISTENCY"</formula>
    </cfRule>
  </conditionalFormatting>
  <conditionalFormatting sqref="F13:F14">
    <cfRule type="expression" dxfId="345" priority="64">
      <formula>$F13="MISSING VALUE"</formula>
    </cfRule>
    <cfRule type="expression" dxfId="344" priority="65">
      <formula>$F13="OK"</formula>
    </cfRule>
  </conditionalFormatting>
  <conditionalFormatting sqref="F18">
    <cfRule type="expression" dxfId="343" priority="88">
      <formula>$F$18="OK"</formula>
    </cfRule>
  </conditionalFormatting>
  <conditionalFormatting sqref="F19:F29">
    <cfRule type="expression" dxfId="342" priority="85">
      <formula>$F19="MISSING VALUE"</formula>
    </cfRule>
    <cfRule type="expression" dxfId="341" priority="7">
      <formula>$F19="VALUE INCONSISTENCY"</formula>
    </cfRule>
    <cfRule type="expression" dxfId="340" priority="86">
      <formula>$F19="OK"</formula>
    </cfRule>
  </conditionalFormatting>
  <conditionalFormatting sqref="F29">
    <cfRule type="expression" dxfId="339" priority="12">
      <formula>$F$29="INVALID URL"</formula>
    </cfRule>
  </conditionalFormatting>
  <conditionalFormatting sqref="F32">
    <cfRule type="expression" dxfId="338" priority="68">
      <formula>$F32="MISSING VALUE"</formula>
    </cfRule>
    <cfRule type="expression" dxfId="337" priority="69">
      <formula>$F32="OK"</formula>
    </cfRule>
  </conditionalFormatting>
  <conditionalFormatting sqref="F33">
    <cfRule type="expression" dxfId="336" priority="5">
      <formula>$F$33="VALUE INCONSISTENCY"</formula>
    </cfRule>
    <cfRule type="expression" dxfId="335" priority="119">
      <formula>$F$33="OK"</formula>
    </cfRule>
    <cfRule type="expression" dxfId="334" priority="118">
      <formula>$F$33="MISSING VALUE"</formula>
    </cfRule>
  </conditionalFormatting>
  <conditionalFormatting sqref="F34:F41">
    <cfRule type="expression" dxfId="333" priority="6">
      <formula>$F34="VALUE INCONSISTENCY"</formula>
    </cfRule>
    <cfRule type="expression" dxfId="332" priority="73">
      <formula>$F34="MISSING VALUE"</formula>
    </cfRule>
    <cfRule type="expression" dxfId="331" priority="74">
      <formula>$F34="OK"</formula>
    </cfRule>
  </conditionalFormatting>
  <conditionalFormatting sqref="F42">
    <cfRule type="expression" dxfId="330" priority="151">
      <formula>$F$42="MISSING VALUE"</formula>
    </cfRule>
    <cfRule type="expression" dxfId="329" priority="128">
      <formula>$F$42="OK"</formula>
    </cfRule>
  </conditionalFormatting>
  <conditionalFormatting sqref="F43">
    <cfRule type="expression" dxfId="328" priority="126">
      <formula>$F$43="MISSING VALUE"</formula>
    </cfRule>
    <cfRule type="expression" dxfId="327" priority="127">
      <formula>$F$43="OK"</formula>
    </cfRule>
  </conditionalFormatting>
  <conditionalFormatting sqref="F44">
    <cfRule type="expression" dxfId="326" priority="89">
      <formula>$F$44="MISSING VALUE"</formula>
    </cfRule>
    <cfRule type="expression" dxfId="325" priority="90">
      <formula>$F$44="OK"</formula>
    </cfRule>
  </conditionalFormatting>
  <conditionalFormatting sqref="F45">
    <cfRule type="expression" dxfId="324" priority="4">
      <formula>$F$45="VALUE INCONSISTENCY"</formula>
    </cfRule>
    <cfRule type="expression" dxfId="323" priority="149">
      <formula>$F$45="MISSING VALUE"</formula>
    </cfRule>
    <cfRule type="expression" dxfId="322" priority="148">
      <formula>$F$45="OK"</formula>
    </cfRule>
    <cfRule type="expression" dxfId="321" priority="41">
      <formula>$F$45="ERROR"</formula>
    </cfRule>
  </conditionalFormatting>
  <conditionalFormatting sqref="F46:F59">
    <cfRule type="expression" dxfId="320" priority="38">
      <formula>$F46="MISSING VALUE"</formula>
    </cfRule>
    <cfRule type="expression" dxfId="319" priority="40">
      <formula>$F46="ERROR"</formula>
    </cfRule>
    <cfRule type="expression" dxfId="318" priority="39">
      <formula>$F46="OK"</formula>
    </cfRule>
    <cfRule type="expression" dxfId="317" priority="3">
      <formula>$F46="VALUE INCONSISTENCY"</formula>
    </cfRule>
  </conditionalFormatting>
  <conditionalFormatting sqref="F60">
    <cfRule type="expression" dxfId="316" priority="135">
      <formula>$F$60="OK"</formula>
    </cfRule>
    <cfRule type="expression" dxfId="315" priority="136">
      <formula>$F$60="MISSING VALUE"</formula>
    </cfRule>
  </conditionalFormatting>
  <conditionalFormatting sqref="F61:F65">
    <cfRule type="expression" dxfId="314" priority="133">
      <formula>$F61="OK"</formula>
    </cfRule>
    <cfRule type="expression" dxfId="313" priority="134">
      <formula>$F61="MISSING VALUE"</formula>
    </cfRule>
  </conditionalFormatting>
  <conditionalFormatting sqref="F93">
    <cfRule type="expression" dxfId="312" priority="270">
      <formula>#REF!="MISSING VALUE"</formula>
    </cfRule>
    <cfRule type="expression" dxfId="311" priority="271">
      <formula>#REF!="OK"</formula>
    </cfRule>
  </conditionalFormatting>
  <conditionalFormatting sqref="F94">
    <cfRule type="expression" dxfId="310" priority="272">
      <formula>$F105="MISSING VALUE"</formula>
    </cfRule>
    <cfRule type="expression" dxfId="309" priority="273">
      <formula>$F105="OK"</formula>
    </cfRule>
  </conditionalFormatting>
  <conditionalFormatting sqref="G43">
    <cfRule type="expression" dxfId="308" priority="132">
      <formula>$G$43="Please specify the legal form in the row below"</formula>
    </cfRule>
  </conditionalFormatting>
  <conditionalFormatting sqref="H108:H132">
    <cfRule type="expression" dxfId="307" priority="13">
      <formula>$H$107=FALSE</formula>
    </cfRule>
  </conditionalFormatting>
  <conditionalFormatting sqref="H148:H150">
    <cfRule type="expression" dxfId="306" priority="14">
      <formula>$H148="MISSING VALUE"</formula>
    </cfRule>
    <cfRule type="expression" dxfId="305" priority="15">
      <formula>$H148="OK"</formula>
    </cfRule>
  </conditionalFormatting>
  <conditionalFormatting sqref="H154:H156 H160">
    <cfRule type="expression" dxfId="304" priority="100">
      <formula>$H154="OK"</formula>
    </cfRule>
    <cfRule type="expression" dxfId="303" priority="101">
      <formula>$H154="MISSING VALUE"</formula>
    </cfRule>
  </conditionalFormatting>
  <conditionalFormatting sqref="I100">
    <cfRule type="expression" dxfId="302" priority="43">
      <formula>$I$100="MISSING VALUE"</formula>
    </cfRule>
    <cfRule type="expression" dxfId="301" priority="84">
      <formula>$I$100="OK"</formula>
    </cfRule>
  </conditionalFormatting>
  <conditionalFormatting sqref="I108:I132">
    <cfRule type="expression" dxfId="300" priority="92">
      <formula>$I108="MISSING VALUE"</formula>
    </cfRule>
    <cfRule type="expression" dxfId="299" priority="91">
      <formula>$I108="OK"</formula>
    </cfRule>
  </conditionalFormatting>
  <conditionalFormatting sqref="I164">
    <cfRule type="expression" dxfId="298" priority="83">
      <formula>$I$164="OK"</formula>
    </cfRule>
  </conditionalFormatting>
  <conditionalFormatting sqref="P139">
    <cfRule type="expression" dxfId="297" priority="24">
      <formula>$P$139="OK"</formula>
    </cfRule>
    <cfRule type="expression" dxfId="296" priority="23">
      <formula>$P$139="MISSING VALUE"</formula>
    </cfRule>
  </conditionalFormatting>
  <dataValidations xWindow="549" yWindow="696" count="26">
    <dataValidation type="list" allowBlank="1" showInputMessage="1" showErrorMessage="1" sqref="E32" xr:uid="{A2DCDFDB-ADC4-436B-BD6C-4E84E82AE073}">
      <formula1>"Option A (module de base uniquement), Option B (module de base et module narratif)"</formula1>
    </dataValidation>
    <dataValidation type="list" allowBlank="1" showInputMessage="1" showErrorMessage="1" sqref="E42" xr:uid="{4F13A5F9-E736-4E05-A233-B9B112EBE6A1}">
      <formula1>"Rapport de durabilité préparé sur une base individuelle, Rapport de durabilité préparé sur une base consolidée"</formula1>
    </dataValidation>
    <dataValidation type="list" allowBlank="1" showInputMessage="1" showErrorMessage="1" sqref="E64" xr:uid="{1DA6DC5E-36CE-4C4E-942D-7DCF7644718A}">
      <formula1>"Effectifs, Équivalents temps plein"</formula1>
    </dataValidation>
    <dataValidation allowBlank="1" showInputMessage="1" showErrorMessage="1" promptTitle="Lignes supplémentaires" prompt="La liste peut être développée en utilisant le bouton [+] à gauche.  Si le nombre de lignes est insuffisant, faites un clic droit sur la 2ème ligne et sélectionnez &quot;Insérer une ligne entière&quot;." sqref="D110" xr:uid="{C7D9D4DC-7E1D-44C3-81B8-A44DF07B46F0}"/>
    <dataValidation type="list" allowBlank="1" showInputMessage="1" showErrorMessage="1" sqref="G108:G132" xr:uid="{BE8F6A12-5C78-4D48-9F63-01FCA7AABD87}">
      <formula1>enum_ListCountriesName</formula1>
    </dataValidation>
    <dataValidation type="list" allowBlank="1" showInputMessage="1" showErrorMessage="1" promptTitle="Lignes supplémentaires" prompt="La liste peut être développée en cliquant sur le bouton [+] à gauche. Si le nombre de lignes est insuffisant, il est possible d'en ajouter en faisant un clic droit sur la 2e ligne et en sélectionnant &quot;Insérer une ligne entière&quot;." sqref="E19" xr:uid="{544D34CA-1630-49D5-B390-0FD7794F8530}">
      <formula1>enum_ListOmittedDisclosures</formula1>
    </dataValidation>
    <dataValidation type="date" operator="equal" allowBlank="1" showInputMessage="1" showErrorMessage="1" promptTitle="Warning" prompt="The date should be inserted in the following format: dd/mm/yyyy_x000a_Please be sure to use the &quot;/&quot; and not the &quot;.&quot;" sqref="E32" xr:uid="{4104C250-8FE3-463A-B01E-113FF4011C28}">
      <formula1>E32</formula1>
    </dataValidation>
    <dataValidation type="decimal" operator="equal" allowBlank="1" showInputMessage="1" showErrorMessage="1" promptTitle="Avertissement" prompt="Insérer uniquement des chiffres, pas de lettres ni de caractères spéciaux." sqref="E60:E62" xr:uid="{546D8560-FA10-4E3C-8848-2A7A25B13150}">
      <formula1>E60</formula1>
    </dataValidation>
    <dataValidation type="custom" showInputMessage="1" showErrorMessage="1" sqref="E159 I146:O152 E99 I99 C151:H152 C146:H146 C139:O140 E18 H107" xr:uid="{9BD8F46B-C9AA-4C89-814F-A6D87FB15620}">
      <formula1>OR(C18=TRUE,C18=FALSE)</formula1>
    </dataValidation>
    <dataValidation allowBlank="1" showInputMessage="1" showErrorMessage="1" promptTitle="Avertissement (si pertinent)" prompt="Cette information n'est pertinente que si l'entreprise a obtenu une certification ou un label en matière de durabilité." sqref="E100:H100" xr:uid="{EE90A5B1-AD2B-42F8-90A7-8DAD653E3D0F}"/>
    <dataValidation allowBlank="1" showInputMessage="1" showErrorMessage="1" promptTitle="Avertissement (si pertinent)" prompt="Cette information n'est pertinente que si la stratégie comporte des éléments clés liés aux questions de durabilité ou influant sur ces questions." sqref="E160:G160" xr:uid="{3937A8F0-467B-4CD2-B4F9-475F107BE9AC}"/>
    <dataValidation allowBlank="1" showInputMessage="1" showErrorMessage="1" promptTitle="Warning" prompt="The coordinates should be entered in the format of &quot;latitude,langtitude&quot;. For example, the EFRAG office if Brussels would be reported as 50.840664,4.369322. Multiple locations are to be separated by whitespace." sqref="M108" xr:uid="{C35A9262-C360-4D5E-968C-53C84371D491}"/>
    <dataValidation type="list" allowBlank="1" showInputMessage="1" showErrorMessage="1" sqref="D5" xr:uid="{CBA5C810-BD1B-4457-A1F9-2D364225E70C}">
      <formula1>enum_ListOfCurrencies</formula1>
    </dataValidation>
    <dataValidation type="list" allowBlank="1" showInputMessage="1" showErrorMessage="1" sqref="E63" xr:uid="{144F4C96-EADD-4F0D-816D-09334348F775}">
      <formula1>enum_employee_methodology</formula1>
    </dataValidation>
    <dataValidation type="list" allowBlank="1" showInputMessage="1" showErrorMessage="1" promptTitle="Avertissement" prompt="Si l'entreprise n'a omis aucune information, elle peut sélectionner &quot;Aucune&quot; dans la liste déroulante." sqref="E33" xr:uid="{AC769C83-4CF3-4F4D-8304-CCD442331E8E}">
      <formula1>enum_ListOmittedDisclosuresWithNone</formula1>
    </dataValidation>
    <dataValidation type="custom" showInputMessage="1" showErrorMessage="1" sqref="K108:K132" xr:uid="{87B45667-2565-4DEE-8FB7-7B0AF6539C1C}">
      <formula1>LOWER(SUBSTITUTE(D108," ","+" )) &amp; "+" &amp; LOWER(SUBSTITUTE(E108," ","+" )) &amp; "+" &amp; LOWER(SUBSTITUTE(F108," ","+" )) &amp; "+" &amp; LOWER(SUBSTITUTE(G108," ","+" )) &amp; "+"</formula1>
    </dataValidation>
    <dataValidation type="list" allowBlank="1" showInputMessage="1" showErrorMessage="1" sqref="E20:E28 E34:E41" xr:uid="{EE286346-3EAB-4DBC-9A4C-E08474F31715}">
      <formula1>enum_ListOmittedDisclosures</formula1>
    </dataValidation>
    <dataValidation allowBlank="1" showInputMessage="1" showErrorMessage="1" promptTitle="Avertissement" prompt="Veillez à bien séparer chaque numéro de rue/numéro de bâtiment en utilisant le signe &quot;/&quot; et non la virgule &quot;,&quot;." sqref="D108" xr:uid="{FF6BF4E5-79EB-438B-AB90-BD2CC04512B8}"/>
    <dataValidation type="decimal" operator="equal" allowBlank="1" showInputMessage="1" showErrorMessage="1" sqref="D144" xr:uid="{CCE80C28-405D-419C-B811-BD94D4438BBC}">
      <formula1>D144</formula1>
    </dataValidation>
    <dataValidation type="list" allowBlank="1" showInputMessage="1" showErrorMessage="1" promptTitle="Avertissement" prompt="L'identifiant de l'entreprise est un ID unique qui permet d'identifier l'entreprise déclarante. La Norme VSME n'impose pas un identifiant spécifique. L'identifiant de l'entreprise est indispensable pour établir un rapport au format numérique." sqref="D4" xr:uid="{283D8083-3194-4536-B7E2-CB3D63926BC2}">
      <formula1>enum_ListIdentifier</formula1>
    </dataValidation>
    <dataValidation type="custom" allowBlank="1" showInputMessage="1" showErrorMessage="1" sqref="D9" xr:uid="{A6893FAA-5941-41DF-9847-2BA180C744C7}">
      <formula1>AND(D8&gt;=1, D8&lt;=31, IF(OR(D7="APRIL", D7="JUNE", D7="SEPTEMBER", D7="NOVEMBER"), D8&lt;=30, IF(D7="FEBRUARY", IF(AND(INT(D6/4)=D6/4, OR(INT(D6/100)&lt;&gt;D6/100, INT(D6/400)=D6/400)), D8&lt;=29, D8&lt;=28), D8&lt;=31)))</formula1>
    </dataValidation>
    <dataValidation type="date" operator="greaterThan" showInputMessage="1" showErrorMessage="1" sqref="E14" xr:uid="{14FB1F45-F6E6-440A-8B10-700A785CFE1C}">
      <formula1>D10</formula1>
    </dataValidation>
    <dataValidation type="date" operator="greaterThan" showInputMessage="1" showErrorMessage="1" sqref="D13" xr:uid="{91F62C38-3D19-4176-85FE-23E07F105461}">
      <formula1>D9</formula1>
    </dataValidation>
    <dataValidation type="list" allowBlank="1" showInputMessage="1" showErrorMessage="1" prompt="Veuillez sélectionner un code NACE plutôt qu'une catégorie ; à défaut, le message ERREUR apparaîtra." sqref="E45 E46 E47 E48 E49 E50 E51 E52 E53 E54 E55 E56 E57 E58 E59" xr:uid="{30C6BE30-D968-4520-99CC-C6DE301D0BAB}">
      <formula1>enum_ListNACETechnicalName</formula1>
    </dataValidation>
    <dataValidation allowBlank="1" showInputMessage="1" showErrorMessage="1" promptTitle="Avertissement" prompt="Si le message VALEUR NON CONFORME apparaît à droite, assurez-vous que la date de fin de la période de référence est postérieure à la date de début de la période de référence." sqref="D6:E8 D10:E12" xr:uid="{13F5ACB6-CB8B-48C5-9DDA-DBAAD60845D2}"/>
    <dataValidation allowBlank="1" showInputMessage="1" showErrorMessage="1" promptTitle="Lignes supplémentaires" prompt="La liste peut être développée en cliquant sur le bouton [+] à gauche.  Si le nombre de lignes est insuffisant, faites un clic droit sur la 2ème ligne et sélectionnez &quot;Insérer une ligne entière&quot;." sqref="D70" xr:uid="{69C133BC-0C3D-4DDD-A3DD-6670C248F449}"/>
  </dataValidations>
  <hyperlinks>
    <hyperlink ref="B43" r:id="rId1" location="id-160" display="https://xbrl.efrag.org/e-esrs/2024-12-17-efrag-vsme.xhtml - id-160" xr:uid="{6E35ED44-D9B7-4052-8FB7-A15755AA2F9A}"/>
    <hyperlink ref="B45" r:id="rId2" location="id-166" xr:uid="{FA270BAD-2BBA-4F19-A5BF-CB6660F0026F}"/>
    <hyperlink ref="B62" r:id="rId3" location="id-168" xr:uid="{D4D508FB-87F9-401E-995D-187EDEBAA1BE}"/>
    <hyperlink ref="B65" r:id="rId4" location="id-170" display="73 -77" xr:uid="{2B7090F1-63F3-4B58-8A74-A26824447503}"/>
    <hyperlink ref="A32" r:id="rId5" location="id-47" xr:uid="{C2B9CAC6-77B0-4EAC-8669-72761233B94E}"/>
    <hyperlink ref="A33" r:id="rId6" location="id-50" xr:uid="{550B4979-0FEB-4358-9C47-F633B3AD029B}"/>
    <hyperlink ref="A42" r:id="rId7" location="id-51" xr:uid="{F8EF2A00-D01F-454A-B219-4512593E4195}"/>
    <hyperlink ref="A45" r:id="rId8" location="id-55" xr:uid="{34C299B3-3BF1-4370-BBCB-6C0B88190DAA}"/>
    <hyperlink ref="A61" r:id="rId9" location="id-57" xr:uid="{720E8189-B604-4A6E-B087-2B36F1DBDA4C}"/>
    <hyperlink ref="A62" r:id="rId10" location="id-58" xr:uid="{D8858E63-1190-459F-86C5-E2BF02C1FB92}"/>
    <hyperlink ref="A65" r:id="rId11" location="id-59" xr:uid="{91A049C2-07F3-45F0-A7D7-EE0EA55C5BC7}"/>
    <hyperlink ref="C97" r:id="rId12" location="id-61" display="https://xbrl.efrag.org/e-esrs/2024-12-17-efrag-vsme.xhtml - id-61" xr:uid="{DFAA86FF-296C-45FD-AFBE-90C8E90045EB}"/>
    <hyperlink ref="C104" r:id="rId13" location="id-170" display="73 -77" xr:uid="{8ABC957E-1EBE-4A8D-863F-E7583DD2AC76}"/>
    <hyperlink ref="C17" r:id="rId14" location="id-36" display="https://xbrl.efrag.org/e-esrs/2024-12-17-efrag-vsme.xhtml - id-36" xr:uid="{19CB59E3-AADC-498C-AF52-20D4994CF242}"/>
    <hyperlink ref="C98" r:id="rId15" location="id-174" display="https://xbrl.efrag.org/e-esrs/2024-12-17-efrag-vsme.xhtml - id-174" xr:uid="{C5A15A7C-043F-4781-AFDF-10B6996439A7}"/>
    <hyperlink ref="C163" r:id="rId16" location="id-30" display="https://xbrl.efrag.org/e-esrs/2024-12-17-efrag-vsme.xhtml - id-30" xr:uid="{76D42933-A7B6-4201-BBAA-C4F0D44A8C21}"/>
    <hyperlink ref="A160" r:id="rId17" location="id-109" xr:uid="{E97D4368-4682-47AC-B32E-7B38F4BB397A}"/>
    <hyperlink ref="C103" r:id="rId18" location="id-60" xr:uid="{A4AF9C3B-B0B9-4070-AABC-C04C5FA2EE60}"/>
    <hyperlink ref="B156" r:id="rId19" location="id-396" display="https://xbrl.efrag.org/e-esrs/2024-12-17-efrag-vsme.xhtml - id-396" xr:uid="{5CB57F72-A4D3-4052-85C2-F2ACBE8A0625}"/>
    <hyperlink ref="A156" r:id="rId20" location="id-108" display="https://xbrl.efrag.org/e-esrs/2024-12-17-efrag-vsme.xhtml - id-108" xr:uid="{BC12DD63-6EEA-4437-B6AB-A88936D421E8}"/>
    <hyperlink ref="A154" r:id="rId21" location="id-106" display="https://xbrl.efrag.org/e-esrs/2024-12-17-efrag-vsme.xhtml - id-106" xr:uid="{20731D9F-75F2-48D9-BBE1-5734A2AEF5B8}"/>
    <hyperlink ref="A64" r:id="rId22" location="id-58" xr:uid="{A3C0E839-57A3-4D0A-B627-0FEEC35B321E}"/>
    <hyperlink ref="B64" r:id="rId23" location="id-168" display="71-72" xr:uid="{D9AB51C9-D382-4416-9723-63D4E2D141E6}"/>
    <hyperlink ref="C68:E68" r:id="rId24" location="id-52" display="24(d)" xr:uid="{FE76555F-2718-48D9-B35B-738DCDA0476C}"/>
    <hyperlink ref="A60" r:id="rId25" location="id-56" xr:uid="{785C6C18-5546-41D1-A9CA-4896BC8E24DF}"/>
    <hyperlink ref="A155" r:id="rId26" location="id-107" display="https://xbrl.efrag.org/e-esrs/2024-12-17-efrag-vsme.xhtml - id-107" xr:uid="{671D2E36-4142-4CDA-8EBC-2663BBA303BE}"/>
    <hyperlink ref="A63" r:id="rId27" location="id-58" xr:uid="{EE48830C-F11F-4189-97F2-1DA6109D51D0}"/>
    <hyperlink ref="B63" r:id="rId28" location="id-168" display="71-72" xr:uid="{278E3312-26A5-4C20-A812-695C4363AB8D}"/>
    <hyperlink ref="C135" r:id="rId29" location="id-62" display="Paragraph 26" xr:uid="{1422AC39-BA25-4CD7-940C-725F3655BB72}"/>
    <hyperlink ref="C136" r:id="rId30" location="id-175" xr:uid="{29217F16-5FD6-42B1-908F-0D6E08E76BBB}"/>
    <hyperlink ref="A148:B148" r:id="rId31" location="id-110" display="https://xbrl.efrag.org/e-esrs/2024-12-17-efrag-vsme.xhtml - id-110" xr:uid="{4CDC38AF-269F-44A9-8E58-C12060FF2342}"/>
    <hyperlink ref="A150" r:id="rId32" location="id-111" display="Paragraph 49" xr:uid="{D30D55EA-0736-4AA0-9B56-68C3D904FFDE}"/>
    <hyperlink ref="B149" r:id="rId33" location="id-110" display="https://xbrl.efrag.org/e-esrs/2024-12-17-efrag-vsme.xhtml - id-110" xr:uid="{61078559-FD88-4BC9-8C02-CD1E3EB9071F}"/>
    <hyperlink ref="B150" r:id="rId34" location="id-110" display="https://xbrl.efrag.org/e-esrs/2024-12-17-efrag-vsme.xhtml - id-110" xr:uid="{E17E3FBE-1019-463B-982B-BA4D6756EED0}"/>
    <hyperlink ref="C142:D142" r:id="rId35" location="id-176" display="https://xbrl.efrag.org/e-esrs/2024-12-17-efrag-vsme.xhtml - id-176" xr:uid="{57C93BA6-29CE-468C-8E78-67130131E33C}"/>
    <hyperlink ref="A43" r:id="rId36" location="id-54" display="24(e)(i)" xr:uid="{4D61DA22-7170-4B6E-B717-DB0522673FDD}"/>
  </hyperlinks>
  <pageMargins left="0.7" right="0.7" top="0.75" bottom="0.75" header="0.3" footer="0.3"/>
  <pageSetup paperSize="9" orientation="portrait" horizontalDpi="4294967293" verticalDpi="4294967293" r:id="rId37"/>
  <ignoredErrors>
    <ignoredError sqref="F4" formula="1"/>
  </ignoredErrors>
  <drawing r:id="rId38"/>
  <extLst>
    <ext xmlns:x14="http://schemas.microsoft.com/office/spreadsheetml/2009/9/main" uri="{CCE6A557-97BC-4b89-ADB6-D9C93CAAB3DF}">
      <x14:dataValidations xmlns:xm="http://schemas.microsoft.com/office/excel/2006/main" xWindow="549" yWindow="696" count="2">
        <x14:dataValidation type="list" allowBlank="1" showInputMessage="1" showErrorMessage="1" xr:uid="{0AF44263-3F7A-40FE-9400-EEC7E8C4DF4E}">
          <x14:formula1>
            <xm:f>Listes!$E$2:$E$257</xm:f>
          </x14:formula1>
          <xm:sqref>E65</xm:sqref>
        </x14:dataValidation>
        <x14:dataValidation type="list" allowBlank="1" showInputMessage="1" showErrorMessage="1" promptTitle="Avertissement" prompt="Lorsque la forme juridique &quot;Autre&quot; est sélectionnée, merci de remplir la ligne suivante." xr:uid="{386E27C7-13F7-4F0C-8DF1-6A82CC469E13}">
          <x14:formula1>
            <xm:f>Listes!$L$2:$L$6</xm:f>
          </x14:formula1>
          <xm:sqref>E43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0D012-9FFA-46E0-AC1E-254B3B108EC6}">
  <sheetPr codeName="Sheet3"/>
  <dimension ref="A1:Q244"/>
  <sheetViews>
    <sheetView showGridLines="0" topLeftCell="A251" zoomScale="145" zoomScaleNormal="145" workbookViewId="0">
      <selection activeCell="A253" sqref="A253"/>
    </sheetView>
  </sheetViews>
  <sheetFormatPr baseColWidth="10" defaultColWidth="8.81640625" defaultRowHeight="14.5" outlineLevelRow="1" x14ac:dyDescent="0.35"/>
  <cols>
    <col min="1" max="1" width="11.08984375" customWidth="1"/>
    <col min="2" max="2" width="11.26953125" customWidth="1"/>
    <col min="3" max="3" width="78.08984375" customWidth="1"/>
    <col min="4" max="4" width="17.36328125" customWidth="1"/>
    <col min="5" max="5" width="19.54296875" customWidth="1"/>
    <col min="6" max="6" width="22.54296875" customWidth="1"/>
    <col min="7" max="7" width="15.54296875" customWidth="1"/>
    <col min="8" max="8" width="5.36328125" customWidth="1"/>
    <col min="9" max="9" width="13.54296875" customWidth="1"/>
    <col min="10" max="10" width="26.453125" customWidth="1"/>
    <col min="11" max="11" width="24.7265625" customWidth="1"/>
    <col min="12" max="12" width="27" customWidth="1"/>
    <col min="13" max="13" width="30.36328125" customWidth="1"/>
    <col min="14" max="14" width="29.54296875" customWidth="1"/>
  </cols>
  <sheetData>
    <row r="1" spans="1:12" ht="73" thickBot="1" x14ac:dyDescent="0.4">
      <c r="A1" s="263" t="s">
        <v>4090</v>
      </c>
      <c r="B1" s="263" t="s">
        <v>4091</v>
      </c>
    </row>
    <row r="2" spans="1:12" x14ac:dyDescent="0.35">
      <c r="C2" s="617" t="str">
        <f>"B3 - Consommation totale d'énergie (en MWh) " &amp; template_reporting_period_display  &amp; " [obligatoire]"</f>
        <v>B3 - Consommation totale d'énergie (en MWh) du - au - [obligatoire]</v>
      </c>
      <c r="D2" s="618"/>
      <c r="E2" s="618"/>
      <c r="F2" s="618"/>
      <c r="G2" s="618"/>
      <c r="H2" s="618"/>
      <c r="I2" s="618"/>
      <c r="J2" s="618"/>
      <c r="K2" s="619"/>
    </row>
    <row r="3" spans="1:12" x14ac:dyDescent="0.35">
      <c r="C3" s="499">
        <v>29</v>
      </c>
      <c r="D3" s="500"/>
      <c r="E3" s="500"/>
      <c r="F3" s="500"/>
      <c r="G3" s="500"/>
      <c r="H3" s="500"/>
      <c r="I3" s="500"/>
      <c r="J3" s="500"/>
      <c r="K3" s="501"/>
    </row>
    <row r="4" spans="1:12" x14ac:dyDescent="0.35">
      <c r="C4" s="673" t="s">
        <v>3923</v>
      </c>
      <c r="D4" s="674"/>
      <c r="E4" s="674"/>
      <c r="F4" s="674"/>
      <c r="G4" s="674"/>
      <c r="H4" s="674"/>
      <c r="I4" s="674"/>
      <c r="J4" s="674"/>
      <c r="K4" s="675"/>
    </row>
    <row r="5" spans="1:12" ht="15" thickBot="1" x14ac:dyDescent="0.4">
      <c r="C5" s="694" t="s">
        <v>4093</v>
      </c>
      <c r="D5" s="695"/>
      <c r="E5" s="695"/>
      <c r="F5" s="696"/>
      <c r="G5" s="713"/>
      <c r="H5" s="714"/>
      <c r="I5" s="714"/>
      <c r="J5" s="714"/>
      <c r="K5" s="715"/>
      <c r="L5" s="15" t="str">
        <f>IF(AND(OR('Informations générales'!E32="Option A (Basic Module only)", 'Informations générales'!E32="Option B (Basic Module and Comprehensive Module)"),G5=""),"MISSING VALUE",IF('Informations générales'!E32="","","OK"))</f>
        <v/>
      </c>
    </row>
    <row r="6" spans="1:12" ht="15" thickBot="1" x14ac:dyDescent="0.4"/>
    <row r="7" spans="1:12" x14ac:dyDescent="0.35">
      <c r="C7" s="617" t="str">
        <f>"B3 - Répartition de la consommation d'énergie (en MWh) " &amp; template_reporting_period_display &amp; " [si pertinent]"</f>
        <v>B3 - Répartition de la consommation d'énergie (en MWh) du - au - [si pertinent]</v>
      </c>
      <c r="D7" s="618"/>
      <c r="E7" s="618"/>
      <c r="F7" s="618"/>
      <c r="G7" s="618"/>
      <c r="H7" s="618"/>
      <c r="I7" s="618"/>
      <c r="J7" s="618"/>
      <c r="K7" s="619"/>
    </row>
    <row r="8" spans="1:12" x14ac:dyDescent="0.35">
      <c r="C8" s="499">
        <v>29</v>
      </c>
      <c r="D8" s="500"/>
      <c r="E8" s="500"/>
      <c r="F8" s="500"/>
      <c r="G8" s="500"/>
      <c r="H8" s="500"/>
      <c r="I8" s="500"/>
      <c r="J8" s="500"/>
      <c r="K8" s="501"/>
    </row>
    <row r="9" spans="1:12" x14ac:dyDescent="0.35">
      <c r="C9" s="673" t="s">
        <v>3923</v>
      </c>
      <c r="D9" s="674"/>
      <c r="E9" s="674"/>
      <c r="F9" s="674"/>
      <c r="G9" s="674"/>
      <c r="H9" s="674"/>
      <c r="I9" s="674"/>
      <c r="J9" s="674"/>
      <c r="K9" s="675"/>
    </row>
    <row r="10" spans="1:12" x14ac:dyDescent="0.35">
      <c r="C10" s="655" t="s">
        <v>4094</v>
      </c>
      <c r="D10" s="656"/>
      <c r="E10" s="656"/>
      <c r="F10" s="656"/>
      <c r="G10" s="627" t="b">
        <v>0</v>
      </c>
      <c r="H10" s="627"/>
      <c r="I10" s="627"/>
      <c r="J10" s="627"/>
      <c r="K10" s="628"/>
    </row>
    <row r="11" spans="1:12" ht="38.65" customHeight="1" x14ac:dyDescent="0.35">
      <c r="C11" s="716"/>
      <c r="D11" s="717"/>
      <c r="E11" s="717"/>
      <c r="F11" s="717"/>
      <c r="G11" s="709" t="s">
        <v>4095</v>
      </c>
      <c r="H11" s="710"/>
      <c r="I11" s="710"/>
      <c r="J11" s="101" t="s">
        <v>4096</v>
      </c>
      <c r="K11" s="102" t="s">
        <v>4097</v>
      </c>
      <c r="L11" s="15"/>
    </row>
    <row r="12" spans="1:12" x14ac:dyDescent="0.35">
      <c r="C12" s="697" t="s">
        <v>4098</v>
      </c>
      <c r="D12" s="698"/>
      <c r="E12" s="698"/>
      <c r="F12" s="699"/>
      <c r="G12" s="703"/>
      <c r="H12" s="704"/>
      <c r="I12" s="705"/>
      <c r="J12" s="268"/>
      <c r="K12" s="306" t="str">
        <f>IF(AND(G12="",J12=""),"-",SUM(G12:J12))</f>
        <v>-</v>
      </c>
      <c r="L12" s="638" t="str" cm="1">
        <f t="array" ref="L12">IF(G10=TRUE,
    IF(SUMPRODUCT(--(G12:J14&lt;&gt;"-"), --(G12:J14&lt;&gt;""))&gt;0,
        IF(SUM(G12:J14) &gt; TotalEnergyConsumption, "VALUE INCONSISTENCY", "OK"),
        "MISSING VALUE"),
"")</f>
        <v/>
      </c>
    </row>
    <row r="13" spans="1:12" x14ac:dyDescent="0.35">
      <c r="C13" s="700" t="s">
        <v>4099</v>
      </c>
      <c r="D13" s="701"/>
      <c r="E13" s="701"/>
      <c r="F13" s="702"/>
      <c r="G13" s="703"/>
      <c r="H13" s="704"/>
      <c r="I13" s="705"/>
      <c r="J13" s="268"/>
      <c r="K13" s="306" t="str">
        <f>IF(AND(G13="",J13=""),"-",SUM(G13:J13))</f>
        <v>-</v>
      </c>
      <c r="L13" s="638"/>
    </row>
    <row r="14" spans="1:12" ht="15" thickBot="1" x14ac:dyDescent="0.4">
      <c r="C14" s="731" t="s">
        <v>4100</v>
      </c>
      <c r="D14" s="732"/>
      <c r="E14" s="732"/>
      <c r="F14" s="733"/>
      <c r="G14" s="706" t="str">
        <f>'Convertisseur combustibles'!A32</f>
        <v>-</v>
      </c>
      <c r="H14" s="707"/>
      <c r="I14" s="708"/>
      <c r="J14" s="269" t="str">
        <f>'Convertisseur combustibles'!B32</f>
        <v>-</v>
      </c>
      <c r="K14" s="307" t="str">
        <f>IF(AND(G14="-",J14="-"),"-",SUM(G14:J14))</f>
        <v>-</v>
      </c>
      <c r="L14" s="638"/>
    </row>
    <row r="15" spans="1:12" ht="15" thickBot="1" x14ac:dyDescent="0.4"/>
    <row r="16" spans="1:12" ht="28.5" customHeight="1" x14ac:dyDescent="0.35">
      <c r="C16" s="683" t="s">
        <v>4726</v>
      </c>
      <c r="D16" s="684"/>
      <c r="E16" s="684"/>
      <c r="F16" s="685"/>
      <c r="G16" s="691" t="s">
        <v>4810</v>
      </c>
      <c r="H16" s="692"/>
      <c r="I16" s="692"/>
      <c r="J16" s="692"/>
      <c r="K16" s="693"/>
    </row>
    <row r="17" spans="3:12" x14ac:dyDescent="0.35">
      <c r="C17" s="686">
        <v>30</v>
      </c>
      <c r="D17" s="687"/>
      <c r="E17" s="687"/>
      <c r="F17" s="688"/>
      <c r="G17" s="686" t="s">
        <v>3925</v>
      </c>
      <c r="H17" s="687"/>
      <c r="I17" s="687"/>
      <c r="J17" s="254" t="s">
        <v>3927</v>
      </c>
      <c r="K17" s="255" t="s">
        <v>3928</v>
      </c>
    </row>
    <row r="18" spans="3:12" ht="15" thickBot="1" x14ac:dyDescent="0.4">
      <c r="C18" s="241" t="s">
        <v>4089</v>
      </c>
      <c r="D18" s="554" t="s">
        <v>3924</v>
      </c>
      <c r="E18" s="554"/>
      <c r="F18" s="642"/>
      <c r="G18" s="711" t="s">
        <v>3926</v>
      </c>
      <c r="H18" s="712"/>
      <c r="I18" s="712"/>
      <c r="J18" s="248" t="s">
        <v>3926</v>
      </c>
      <c r="K18" s="256" t="s">
        <v>3926</v>
      </c>
    </row>
    <row r="19" spans="3:12" ht="30" customHeight="1" x14ac:dyDescent="0.35">
      <c r="C19" s="734"/>
      <c r="D19" s="735"/>
      <c r="E19" s="735"/>
      <c r="F19" s="736"/>
      <c r="G19" s="654" t="s">
        <v>4727</v>
      </c>
      <c r="H19" s="654"/>
      <c r="I19" s="654"/>
      <c r="J19" s="173" t="b">
        <v>0</v>
      </c>
      <c r="K19" s="104"/>
    </row>
    <row r="20" spans="3:12" ht="43.5" x14ac:dyDescent="0.35">
      <c r="C20" s="105"/>
      <c r="D20" s="740" t="s">
        <v>4102</v>
      </c>
      <c r="E20" s="740"/>
      <c r="F20" s="741"/>
      <c r="G20" s="830" t="s">
        <v>4103</v>
      </c>
      <c r="H20" s="740"/>
      <c r="I20" s="740"/>
      <c r="J20" s="5" t="s">
        <v>4104</v>
      </c>
      <c r="K20" s="33" t="s">
        <v>4105</v>
      </c>
    </row>
    <row r="21" spans="3:12" x14ac:dyDescent="0.35">
      <c r="C21" s="45" t="s">
        <v>4101</v>
      </c>
      <c r="D21" s="742" t="str">
        <f>IF('Informations générales'!$D$9="", "jj/mm/aaaa", TEXT('Informations générales'!$D$9, "JJ/MM/AAAA")) &amp; " - " &amp; IF('Informations générales'!$D$13="", "jj/mm/aaaa", TEXT('Informations générales'!$D$13, "JJ/MM/AAAA"))</f>
        <v>- - -</v>
      </c>
      <c r="E21" s="742"/>
      <c r="F21" s="743"/>
      <c r="G21" s="844"/>
      <c r="H21" s="845"/>
      <c r="I21" s="845"/>
      <c r="J21" s="142"/>
      <c r="K21" s="107"/>
      <c r="L21" s="15" t="str">
        <f>IF(AND(J19=TRUE,G21&lt;&gt;"",J21&lt;&gt;""),"OK",IF(AND(J19=TRUE,G21="",J21=""),"MISSING VALUE",IF(AND(J19=FALSE,G21="",J21=""),"",IF(AND(J19=TRUE,OR(G21="",J21="")),"MISSING VALUE",""))))</f>
        <v/>
      </c>
    </row>
    <row r="22" spans="3:12" x14ac:dyDescent="0.35">
      <c r="C22" s="3" t="s">
        <v>4811</v>
      </c>
      <c r="D22" s="689">
        <v>22</v>
      </c>
      <c r="E22" s="689"/>
      <c r="F22" s="690"/>
      <c r="G22" s="705"/>
      <c r="H22" s="829"/>
      <c r="I22" s="829"/>
      <c r="J22" s="268"/>
      <c r="K22" s="108" t="str">
        <f>IF(AND(G22="", J22=""), "-", IFERROR(-(1 - (J22 / G22)), "-"))</f>
        <v>-</v>
      </c>
      <c r="L22" s="15" t="str">
        <f>IF(AND(OR(BasisForPreparation="Option A (Basic Module Only)",BasisForPreparation="Option B (Basic Module and Comprehensive Module)"),D22="",J19=FALSE),"MISSING VALUE",
IF(AND(OR(BasisForPreparation="Option A (Basic Module Only)",BasisForPreparation="Option B (Basic Module and Comprehensive Module)"),D22&lt;&gt;"",G22&lt;&gt;"",J22&lt;&gt;"",J19=TRUE),"OK",
IF(AND(BasisForPreparation="Option A (Basic Module Only)",D22&lt;&gt;"",OR(G22="",J22=""),J19=FALSE),"OK",
IF(AND(BasisForPreparation="Option A (Basic Module Only)",D22&lt;&gt;"",OR(G22="",J22=""),J19=TRUE),"MISSING VALUE",
IF(AND(BasisForPreparation="Option B (Basic Module and Comprehensive Module)",D22&lt;&gt;"",OR(G22="",J22=""),J19=TRUE),"MISSING VALUE",
IF(AND(BasisForPreparation="Option B (Basic Module and Comprehensive Module)",D22="",OR(G22="",J22=""),J19=TRUE),"MISSING VALUE",
IF(AND(BasisForPreparation="Option A (Basic Module Only)",D22&lt;&gt;"",G22="",J22="",J19=FALSE),"OK",
IF(AND(BasisForPreparation="Option B (Basic Module and Comprehensive Module)",D22&lt;&gt;"",G22="",J22="",J19=FALSE),"OK",
IF(OR(BasisForPreparation="",D22="",G22="",J22="",J19=FALSE),"","MISSING VALUE")))))))))</f>
        <v/>
      </c>
    </row>
    <row r="23" spans="3:12" x14ac:dyDescent="0.35">
      <c r="C23" s="3" t="s">
        <v>4812</v>
      </c>
      <c r="D23" s="755">
        <v>25</v>
      </c>
      <c r="E23" s="756"/>
      <c r="F23" s="757"/>
      <c r="G23" s="705"/>
      <c r="H23" s="829"/>
      <c r="I23" s="829"/>
      <c r="J23" s="268"/>
      <c r="K23" s="108" t="str">
        <f>IF(AND(G23="", J23=""), "-", IFERROR(-(1 - (J23 / G23)), "-"))</f>
        <v>-</v>
      </c>
      <c r="L23" s="15" t="str">
        <f>IF(AND(OR(BasisForPreparation="Option A (Basic Module Only)",BasisForPreparation="Option B (Basic Module and Comprehensive Module)"),D23="",J19=FALSE),"MISSING VALUE",
IF(AND(OR(BasisForPreparation="Option A (Basic Module Only)",BasisForPreparation="Option B (Basic Module and Comprehensive Module)"),D23&lt;&gt;"",G23&lt;&gt;"",J23&lt;&gt;"",J19=TRUE),"OK",
IF(AND(BasisForPreparation="Option A (Basic Module Only)",D23&lt;&gt;"",OR(G23="",J23=""),J19=FALSE),"OK",
IF(AND(BasisForPreparation="Option A (Basic Module Only)",D23&lt;&gt;"",OR(G23="",J23=""),J19=TRUE),"MISSING VALUE",
IF(AND(BasisForPreparation="Option B (Basic Module and Comprehensive Module)",D23&lt;&gt;"",OR(G23="",J23=""),J19=TRUE),"MISSING VALUE",
IF(AND(BasisForPreparation="Option B (Basic Module and Comprehensive Module)",D23="",OR(G23="",J23=""),J19=TRUE),"MISSING VALUE",
IF(AND(BasisForPreparation="Option A (Basic Module Only)",D23&lt;&gt;"",G23="",J23="",J19=FALSE),"OK",
IF(AND(BasisForPreparation="Option B (Basic Module and Comprehensive Module)",D23&lt;&gt;"",G23="",J23="",J19=FALSE),"OK",
IF(OR(BasisForPreparation="",D23="",G23="",J23="",J19=FALSE),"","MISSING VALUE")))))))))</f>
        <v/>
      </c>
    </row>
    <row r="24" spans="3:12" x14ac:dyDescent="0.35">
      <c r="C24" s="3" t="s">
        <v>4813</v>
      </c>
      <c r="D24" s="689">
        <v>40</v>
      </c>
      <c r="E24" s="689"/>
      <c r="F24" s="690"/>
      <c r="G24" s="705"/>
      <c r="H24" s="829"/>
      <c r="I24" s="829"/>
      <c r="J24" s="268"/>
      <c r="K24" s="108" t="str">
        <f>IF(AND(G24="", J24=""), "-", IFERROR(-(1 - (J24 / G24)), "-"))</f>
        <v>-</v>
      </c>
      <c r="L24" s="15" t="str">
        <f>IF(D24&lt;&gt;"", IF(AND(G24="", J24=""), "OK", IF(AND(G24&lt;&gt;"", J24=""), "MISSING VALUE", "OK")), "")</f>
        <v>OK</v>
      </c>
    </row>
    <row r="25" spans="3:12" x14ac:dyDescent="0.35">
      <c r="C25" s="11" t="s">
        <v>4814</v>
      </c>
      <c r="D25" s="748">
        <f>IF(AND(D22="",D23=""),"-",SUM(D22,D23))</f>
        <v>47</v>
      </c>
      <c r="E25" s="748"/>
      <c r="F25" s="749"/>
      <c r="G25" s="847" t="str">
        <f>IF(AND(G22="",G23=""),"-",SUM(G22,G23))</f>
        <v>-</v>
      </c>
      <c r="H25" s="748"/>
      <c r="I25" s="748"/>
      <c r="J25" s="271" t="str">
        <f>IF(AND(J22="",J23=""),"-",SUM(J22,J23))</f>
        <v>-</v>
      </c>
      <c r="K25" s="108" t="str">
        <f>IF(AND(G25="", J25=""), "-", IFERROR(-(1 - (J25 / G25)), "-"))</f>
        <v>-</v>
      </c>
    </row>
    <row r="26" spans="3:12" ht="15" thickBot="1" x14ac:dyDescent="0.4">
      <c r="C26" s="4" t="s">
        <v>4815</v>
      </c>
      <c r="D26" s="750">
        <f>IF(OR(D22="",D24=""),"-",SUM(D22,D24))</f>
        <v>62</v>
      </c>
      <c r="E26" s="751"/>
      <c r="F26" s="752"/>
      <c r="G26" s="751" t="str">
        <f>IF(OR(G22="",G24=""),"-",SUM(G22,G24))</f>
        <v>-</v>
      </c>
      <c r="H26" s="751"/>
      <c r="I26" s="810"/>
      <c r="J26" s="272" t="str">
        <f>IF(OR(J22="",J24=""),"-",SUM(J22,J24))</f>
        <v>-</v>
      </c>
      <c r="K26" s="108" t="str">
        <f>IF(AND(G26="", J26=""), "-", IFERROR(-(1 - (J26 / G26)), "-"))</f>
        <v>-</v>
      </c>
    </row>
    <row r="27" spans="3:12" x14ac:dyDescent="0.35">
      <c r="C27" s="753" t="s">
        <v>3929</v>
      </c>
      <c r="D27" s="754"/>
      <c r="E27" s="754"/>
      <c r="F27" s="754"/>
      <c r="G27" s="754">
        <v>54</v>
      </c>
      <c r="H27" s="754"/>
      <c r="I27" s="754"/>
      <c r="J27" s="754"/>
      <c r="K27" s="109"/>
    </row>
    <row r="28" spans="3:12" ht="15" thickBot="1" x14ac:dyDescent="0.4">
      <c r="C28" s="241" t="s">
        <v>4089</v>
      </c>
      <c r="D28" s="554" t="s">
        <v>3930</v>
      </c>
      <c r="E28" s="554"/>
      <c r="F28" s="554"/>
      <c r="G28" s="848" t="s">
        <v>4089</v>
      </c>
      <c r="H28" s="848"/>
      <c r="I28" s="848"/>
      <c r="J28" s="242" t="s">
        <v>4089</v>
      </c>
      <c r="K28" s="110"/>
    </row>
    <row r="29" spans="3:12" ht="22.15" customHeight="1" x14ac:dyDescent="0.35">
      <c r="C29" s="737" t="s">
        <v>4816</v>
      </c>
      <c r="D29" s="738"/>
      <c r="E29" s="738"/>
      <c r="F29" s="739"/>
      <c r="G29" s="761" t="b">
        <v>0</v>
      </c>
      <c r="H29" s="762"/>
      <c r="I29" s="762"/>
      <c r="J29" s="762"/>
      <c r="K29" s="763"/>
    </row>
    <row r="30" spans="3:12" x14ac:dyDescent="0.35">
      <c r="C30" s="100" t="s">
        <v>4106</v>
      </c>
      <c r="D30" s="666"/>
      <c r="E30" s="666"/>
      <c r="F30" s="663"/>
      <c r="G30" s="828"/>
      <c r="H30" s="666"/>
      <c r="I30" s="666"/>
      <c r="J30" s="273"/>
      <c r="K30" s="301" t="str">
        <f>IF(OR(G30="", J30=""), "-", IFERROR(-(1 - (J30 / G30)), "-"))</f>
        <v>-</v>
      </c>
      <c r="L30" s="638" t="str" cm="1">
        <f t="array" ref="L30">IF(
   OR(
      SUMPRODUCT((G30:G44&lt;&gt;"")*(J30:J44="")) &gt; 0,
      SUMPRODUCT((J30:J44&lt;&gt;"")*(G30:G44="")) &gt; 0
   ),
   "MISSING VALUE",
   IF(
      AND(G29=TRUE, COUNTA(D30:F44)=0),
      "MISSING VALUE",
      IF(G29=FALSE, "", "OK")
   )
)</f>
        <v/>
      </c>
    </row>
    <row r="31" spans="3:12" x14ac:dyDescent="0.35">
      <c r="C31" s="100" t="s">
        <v>4107</v>
      </c>
      <c r="D31" s="666"/>
      <c r="E31" s="666"/>
      <c r="F31" s="663"/>
      <c r="G31" s="828"/>
      <c r="H31" s="666"/>
      <c r="I31" s="666"/>
      <c r="J31" s="273"/>
      <c r="K31" s="301" t="str">
        <f t="shared" ref="K31:K44" si="0">IF(OR(G31="", J31=""), "-", IFERROR(-(1 - (J31 / G31)), "-"))</f>
        <v>-</v>
      </c>
      <c r="L31" s="638"/>
    </row>
    <row r="32" spans="3:12" ht="29" x14ac:dyDescent="0.35">
      <c r="C32" s="100" t="s">
        <v>4119</v>
      </c>
      <c r="D32" s="666"/>
      <c r="E32" s="666"/>
      <c r="F32" s="663"/>
      <c r="G32" s="828"/>
      <c r="H32" s="666"/>
      <c r="I32" s="666"/>
      <c r="J32" s="273"/>
      <c r="K32" s="301" t="str">
        <f t="shared" si="0"/>
        <v>-</v>
      </c>
      <c r="L32" s="638"/>
    </row>
    <row r="33" spans="3:12" x14ac:dyDescent="0.35">
      <c r="C33" s="100" t="s">
        <v>4118</v>
      </c>
      <c r="D33" s="666"/>
      <c r="E33" s="666"/>
      <c r="F33" s="663"/>
      <c r="G33" s="828"/>
      <c r="H33" s="666"/>
      <c r="I33" s="666"/>
      <c r="J33" s="273"/>
      <c r="K33" s="301" t="str">
        <f t="shared" si="0"/>
        <v>-</v>
      </c>
      <c r="L33" s="638"/>
    </row>
    <row r="34" spans="3:12" x14ac:dyDescent="0.35">
      <c r="C34" s="100" t="s">
        <v>4116</v>
      </c>
      <c r="D34" s="666"/>
      <c r="E34" s="666"/>
      <c r="F34" s="663"/>
      <c r="G34" s="828"/>
      <c r="H34" s="666"/>
      <c r="I34" s="666"/>
      <c r="J34" s="273"/>
      <c r="K34" s="301" t="str">
        <f t="shared" si="0"/>
        <v>-</v>
      </c>
      <c r="L34" s="638"/>
    </row>
    <row r="35" spans="3:12" x14ac:dyDescent="0.35">
      <c r="C35" s="100" t="s">
        <v>4117</v>
      </c>
      <c r="D35" s="666"/>
      <c r="E35" s="666"/>
      <c r="F35" s="663"/>
      <c r="G35" s="828"/>
      <c r="H35" s="666"/>
      <c r="I35" s="666"/>
      <c r="J35" s="273"/>
      <c r="K35" s="301" t="str">
        <f t="shared" si="0"/>
        <v>-</v>
      </c>
      <c r="L35" s="638"/>
    </row>
    <row r="36" spans="3:12" x14ac:dyDescent="0.35">
      <c r="C36" s="100" t="s">
        <v>4111</v>
      </c>
      <c r="D36" s="666"/>
      <c r="E36" s="666"/>
      <c r="F36" s="663"/>
      <c r="G36" s="828"/>
      <c r="H36" s="666"/>
      <c r="I36" s="666"/>
      <c r="J36" s="273"/>
      <c r="K36" s="301" t="str">
        <f t="shared" si="0"/>
        <v>-</v>
      </c>
      <c r="L36" s="638"/>
    </row>
    <row r="37" spans="3:12" x14ac:dyDescent="0.35">
      <c r="C37" s="100" t="s">
        <v>4108</v>
      </c>
      <c r="D37" s="666"/>
      <c r="E37" s="666"/>
      <c r="F37" s="663"/>
      <c r="G37" s="828"/>
      <c r="H37" s="666"/>
      <c r="I37" s="666"/>
      <c r="J37" s="273"/>
      <c r="K37" s="301" t="str">
        <f t="shared" si="0"/>
        <v>-</v>
      </c>
      <c r="L37" s="638"/>
    </row>
    <row r="38" spans="3:12" x14ac:dyDescent="0.35">
      <c r="C38" s="100" t="s">
        <v>4109</v>
      </c>
      <c r="D38" s="666"/>
      <c r="E38" s="666"/>
      <c r="F38" s="663"/>
      <c r="G38" s="828"/>
      <c r="H38" s="666"/>
      <c r="I38" s="666"/>
      <c r="J38" s="273"/>
      <c r="K38" s="301" t="str">
        <f t="shared" si="0"/>
        <v>-</v>
      </c>
      <c r="L38" s="638"/>
    </row>
    <row r="39" spans="3:12" x14ac:dyDescent="0.35">
      <c r="C39" s="100" t="s">
        <v>4110</v>
      </c>
      <c r="D39" s="666"/>
      <c r="E39" s="666"/>
      <c r="F39" s="663"/>
      <c r="G39" s="828"/>
      <c r="H39" s="666"/>
      <c r="I39" s="666"/>
      <c r="J39" s="273"/>
      <c r="K39" s="301" t="str">
        <f t="shared" si="0"/>
        <v>-</v>
      </c>
      <c r="L39" s="638"/>
    </row>
    <row r="40" spans="3:12" x14ac:dyDescent="0.35">
      <c r="C40" s="100" t="s">
        <v>4112</v>
      </c>
      <c r="D40" s="666"/>
      <c r="E40" s="666"/>
      <c r="F40" s="663"/>
      <c r="G40" s="828"/>
      <c r="H40" s="666"/>
      <c r="I40" s="666"/>
      <c r="J40" s="273"/>
      <c r="K40" s="301" t="str">
        <f t="shared" si="0"/>
        <v>-</v>
      </c>
      <c r="L40" s="638"/>
    </row>
    <row r="41" spans="3:12" x14ac:dyDescent="0.35">
      <c r="C41" s="100" t="s">
        <v>4113</v>
      </c>
      <c r="D41" s="666"/>
      <c r="E41" s="666"/>
      <c r="F41" s="663"/>
      <c r="G41" s="828"/>
      <c r="H41" s="666"/>
      <c r="I41" s="666"/>
      <c r="J41" s="273"/>
      <c r="K41" s="301" t="str">
        <f t="shared" si="0"/>
        <v>-</v>
      </c>
      <c r="L41" s="638"/>
    </row>
    <row r="42" spans="3:12" x14ac:dyDescent="0.35">
      <c r="C42" s="100" t="s">
        <v>4114</v>
      </c>
      <c r="D42" s="666"/>
      <c r="E42" s="666"/>
      <c r="F42" s="663"/>
      <c r="G42" s="828"/>
      <c r="H42" s="666"/>
      <c r="I42" s="666"/>
      <c r="J42" s="273"/>
      <c r="K42" s="301" t="str">
        <f t="shared" si="0"/>
        <v>-</v>
      </c>
      <c r="L42" s="638"/>
    </row>
    <row r="43" spans="3:12" x14ac:dyDescent="0.35">
      <c r="C43" s="100" t="s">
        <v>3858</v>
      </c>
      <c r="D43" s="666"/>
      <c r="E43" s="666"/>
      <c r="F43" s="663"/>
      <c r="G43" s="828"/>
      <c r="H43" s="666"/>
      <c r="I43" s="666"/>
      <c r="J43" s="273"/>
      <c r="K43" s="301" t="str">
        <f t="shared" si="0"/>
        <v>-</v>
      </c>
      <c r="L43" s="638"/>
    </row>
    <row r="44" spans="3:12" x14ac:dyDescent="0.35">
      <c r="C44" s="100" t="s">
        <v>4115</v>
      </c>
      <c r="D44" s="666"/>
      <c r="E44" s="666"/>
      <c r="F44" s="663"/>
      <c r="G44" s="828"/>
      <c r="H44" s="666"/>
      <c r="I44" s="666"/>
      <c r="J44" s="273"/>
      <c r="K44" s="301" t="str">
        <f t="shared" si="0"/>
        <v>-</v>
      </c>
      <c r="L44" s="638"/>
    </row>
    <row r="45" spans="3:12" ht="15" thickBot="1" x14ac:dyDescent="0.4">
      <c r="C45" s="111" t="s">
        <v>4817</v>
      </c>
      <c r="D45" s="746" t="str">
        <f>IF(AND(G29=FALSE, COUNTA(D30:F44)=0), "-", IF(G29=TRUE, IF(SUM(D30:F44)=0, "-", SUM(D30:F44)), "-"))</f>
        <v>-</v>
      </c>
      <c r="E45" s="746"/>
      <c r="F45" s="747"/>
      <c r="G45" s="849" t="str">
        <f>IF(AND(G29=FALSE, COUNTA(G30:I44)=0), "-", IF(G29=TRUE, IF(SUM(G30:I44)=0, "-", SUM(G30:I44)), "-"))</f>
        <v>-</v>
      </c>
      <c r="H45" s="746"/>
      <c r="I45" s="746"/>
      <c r="J45" s="274" t="str">
        <f>IF(AND(G29=FALSE, COUNTA(J30:J44)=0), "-", IF(G29=TRUE, IF(SUM(J30:J44)=0, "-", SUM(J30:J44)), "-"))</f>
        <v>-</v>
      </c>
      <c r="K45" s="215" t="str">
        <f>IF(AND(G45="", J45=""), "-", IFERROR(-(1 - (J45 / G45)), "-"))</f>
        <v>-</v>
      </c>
      <c r="L45" s="15"/>
    </row>
    <row r="46" spans="3:12" x14ac:dyDescent="0.35">
      <c r="C46" s="11" t="s">
        <v>4818</v>
      </c>
      <c r="D46" s="748" t="str">
        <f>IF(G29=FALSE, "-", IF(AND(D22="", D23="", D45=""), "-", IF(SUM(D22, D23, D45)=0, "-", SUM(D22, D23, D45))))</f>
        <v>-</v>
      </c>
      <c r="E46" s="748"/>
      <c r="F46" s="749"/>
      <c r="G46" s="846" t="str">
        <f>IF(G29=FALSE, "-", IF(AND(G22="", G23="", G45=""), "-", IF(SUM(G22, G23, G45)=0, "-", SUM(G22, G23, G45))))</f>
        <v>-</v>
      </c>
      <c r="H46" s="748"/>
      <c r="I46" s="748"/>
      <c r="J46" s="270" t="str">
        <f>IF(G29=FALSE, "-", IF(AND(J22="", J23="", J45=""), "-", IF(SUM(J22, J23, J45)=0, "-", SUM(J22, J23, J45))))</f>
        <v>-</v>
      </c>
      <c r="K46" s="216" t="str">
        <f>IF(AND(G46="", J46=""), "-", IFERROR(-(1 - (J46 / G46)), "-"))</f>
        <v>-</v>
      </c>
    </row>
    <row r="47" spans="3:12" ht="15" thickBot="1" x14ac:dyDescent="0.4">
      <c r="C47" s="112" t="s">
        <v>4819</v>
      </c>
      <c r="D47" s="750" t="str">
        <f>IF(G29=FALSE,"-",IF(OR(D22="",D24="",D45=""),"-",SUM(D22,D24,D45)))</f>
        <v>-</v>
      </c>
      <c r="E47" s="751"/>
      <c r="F47" s="752"/>
      <c r="G47" s="809" t="str">
        <f>IF(G29=FALSE, "-", IF(OR(G22="", G24="", G45=""), "-", IF(SUM(G22, G24, G45)=0, "-", SUM(G22, G24, G45))))</f>
        <v>-</v>
      </c>
      <c r="H47" s="751"/>
      <c r="I47" s="810"/>
      <c r="J47" s="272" t="str">
        <f>IF(G29=FALSE, "-", IF(OR(J22="", J24="", J45=""), "-", IF(SUM(J22, J24, J45)=0, "-", SUM(J22, J24, J45))))</f>
        <v>-</v>
      </c>
      <c r="K47" s="215" t="str">
        <f>IF(AND(G47="", J47=""), "-", IFERROR(-(1 - (J47 / G47)), "-"))</f>
        <v>-</v>
      </c>
    </row>
    <row r="48" spans="3:12" ht="15" thickBot="1" x14ac:dyDescent="0.4">
      <c r="C48" s="113"/>
      <c r="D48" s="113"/>
      <c r="E48" s="113"/>
      <c r="F48" s="113"/>
      <c r="G48" s="113"/>
      <c r="H48" s="113"/>
      <c r="I48" s="113"/>
      <c r="J48" s="113"/>
      <c r="K48" s="113"/>
    </row>
    <row r="49" spans="1:12" x14ac:dyDescent="0.35">
      <c r="C49" s="681" t="str">
        <f>"C3 - Liste des principales mesures mises en place par l'entité pour atteindre ses cibles " &amp; template_reporting_period_display &amp;  " [si pertinent] "</f>
        <v xml:space="preserve">C3 - Liste des principales mesures mises en place par l'entité pour atteindre ses cibles du - au - [si pertinent] </v>
      </c>
      <c r="D49" s="681"/>
      <c r="E49" s="681"/>
      <c r="F49" s="681"/>
      <c r="G49" s="681"/>
      <c r="H49" s="681"/>
      <c r="I49" s="681"/>
      <c r="J49" s="681"/>
      <c r="K49" s="840"/>
      <c r="L49" s="6"/>
    </row>
    <row r="50" spans="1:12" x14ac:dyDescent="0.35">
      <c r="C50" s="499" t="s">
        <v>3931</v>
      </c>
      <c r="D50" s="499"/>
      <c r="E50" s="499"/>
      <c r="F50" s="499"/>
      <c r="G50" s="499"/>
      <c r="H50" s="499"/>
      <c r="I50" s="499"/>
      <c r="J50" s="499"/>
      <c r="K50" s="768"/>
    </row>
    <row r="51" spans="1:12" x14ac:dyDescent="0.35">
      <c r="C51" s="673">
        <v>223</v>
      </c>
      <c r="D51" s="673"/>
      <c r="E51" s="673"/>
      <c r="F51" s="673"/>
      <c r="G51" s="673"/>
      <c r="H51" s="673"/>
      <c r="I51" s="673"/>
      <c r="J51" s="673"/>
      <c r="K51" s="673"/>
      <c r="L51" s="6"/>
    </row>
    <row r="52" spans="1:12" ht="15" thickBot="1" x14ac:dyDescent="0.4">
      <c r="C52" s="838"/>
      <c r="D52" s="838"/>
      <c r="E52" s="838"/>
      <c r="F52" s="838"/>
      <c r="G52" s="838"/>
      <c r="H52" s="838"/>
      <c r="I52" s="838"/>
      <c r="J52" s="838"/>
      <c r="K52" s="839"/>
      <c r="L52" s="103" t="str">
        <f>IF(AND(J19=TRUE,C52&lt;&gt;""),"OK",IF(AND(J19=TRUE,C52=""),"MISSING VALUE",""))</f>
        <v/>
      </c>
    </row>
    <row r="54" spans="1:12" ht="15" thickBot="1" x14ac:dyDescent="0.4">
      <c r="C54" s="7"/>
      <c r="D54" s="7"/>
      <c r="E54" s="7"/>
      <c r="F54" s="7"/>
      <c r="G54" s="7"/>
      <c r="H54" s="7"/>
      <c r="I54" s="7"/>
      <c r="J54" s="7"/>
      <c r="K54" s="7"/>
    </row>
    <row r="55" spans="1:12" x14ac:dyDescent="0.35">
      <c r="C55" s="681" t="str">
        <f>"C3 - Plan de transition pour les entreprises opérant dans des secteurs à fort impact climatique "&amp; template_reporting_period_display &amp;" [si pertinent]"</f>
        <v>C3 - Plan de transition pour les entreprises opérant dans des secteurs à fort impact climatique du - au - [si pertinent]</v>
      </c>
      <c r="D55" s="681"/>
      <c r="E55" s="681"/>
      <c r="F55" s="681"/>
      <c r="G55" s="681"/>
      <c r="H55" s="681"/>
      <c r="I55" s="681"/>
      <c r="J55" s="681"/>
      <c r="K55" s="682"/>
    </row>
    <row r="56" spans="1:12" ht="38.5" customHeight="1" x14ac:dyDescent="0.35">
      <c r="A56" s="248">
        <v>55</v>
      </c>
      <c r="B56" s="250" t="s">
        <v>3901</v>
      </c>
      <c r="C56" s="100" t="s">
        <v>4120</v>
      </c>
      <c r="D56" s="822" t="b">
        <f>OR(
  ISNUMBER(MATCH('Informations générales'!E45, Listes!D3:D677, 0)),
  ISNUMBER(MATCH('Informations générales'!E46, Listes!D3:D677, 0)),
  ISNUMBER(MATCH('Informations générales'!E47, Listes!D3:D677, 0)),
  ISNUMBER(MATCH('Informations générales'!E48, Listes!D3:D677, 0)),
  ISNUMBER(MATCH('Informations générales'!E49, Listes!D3:D677, 0)),
  ISNUMBER(MATCH('Informations générales'!E45, Listes!D782:D791, 0)),
  ISNUMBER(MATCH('Informations générales'!E46, Listes!D782:D791, 0)),
  ISNUMBER(MATCH('Informations générales'!E47, Listes!D782:D791, 0)),
  ISNUMBER(MATCH('Informations générales'!E48, Listes!D782:D791, 0)),
  ISNUMBER(MATCH('Informations générales'!E49, Listes!D782:D791, 0))
)</f>
        <v>0</v>
      </c>
      <c r="E56" s="823"/>
      <c r="F56" s="823"/>
      <c r="G56" s="823"/>
      <c r="H56" s="823"/>
      <c r="I56" s="823"/>
      <c r="J56" s="823"/>
      <c r="K56" s="824"/>
      <c r="L56" s="15"/>
    </row>
    <row r="57" spans="1:12" x14ac:dyDescent="0.35">
      <c r="A57" s="254">
        <v>55</v>
      </c>
      <c r="B57" s="250" t="s">
        <v>3901</v>
      </c>
      <c r="C57" s="100" t="s">
        <v>4121</v>
      </c>
      <c r="D57" s="833"/>
      <c r="E57" s="834"/>
      <c r="F57" s="834"/>
      <c r="G57" s="834"/>
      <c r="H57" s="834"/>
      <c r="I57" s="834"/>
      <c r="J57" s="834"/>
      <c r="K57" s="835"/>
      <c r="L57" s="15" t="str">
        <f>IF(AND(OR(D57="A transition plan has already been adopted", D57="Adoption of a transition plan is planned in the future"), D56=TRUE),
   "OK",
   IF(AND(BasisForPreparation="Option B (Basic Module and Comprehensive Module)", D57="", D56=TRUE),
      "MISSING VALUE",
      "")
)</f>
        <v/>
      </c>
    </row>
    <row r="58" spans="1:12" ht="29" x14ac:dyDescent="0.35">
      <c r="A58" s="254">
        <v>55</v>
      </c>
      <c r="B58" s="250" t="s">
        <v>3901</v>
      </c>
      <c r="C58" s="114" t="s">
        <v>4769</v>
      </c>
      <c r="D58" s="836"/>
      <c r="E58" s="836"/>
      <c r="F58" s="836"/>
      <c r="G58" s="836"/>
      <c r="H58" s="836"/>
      <c r="I58" s="836"/>
      <c r="J58" s="836"/>
      <c r="K58" s="837"/>
      <c r="L58" s="15" t="str">
        <f>IF(AND(D57="A transition plan has already been adopted",DescriptionOfATransitionPlanForClimateChangeMitigationIncludingAnExplanationOfHowItIsContributingToReduceGhgEmissions&lt;&gt;""),"OK","")</f>
        <v/>
      </c>
    </row>
    <row r="59" spans="1:12" x14ac:dyDescent="0.35">
      <c r="A59" s="639">
        <v>56</v>
      </c>
      <c r="B59" s="642" t="s">
        <v>3901</v>
      </c>
      <c r="C59" s="645" t="s">
        <v>4770</v>
      </c>
      <c r="D59" s="648" t="s">
        <v>4122</v>
      </c>
      <c r="E59" s="649"/>
      <c r="F59" s="649"/>
      <c r="G59" s="649"/>
      <c r="H59" s="650"/>
      <c r="I59" s="651"/>
      <c r="J59" s="652"/>
      <c r="K59" s="653"/>
      <c r="L59" s="638" t="str">
        <f>IF(AND(D57="A transition plan has already been adopted",OR(I59="",I60="",I61="")),
"",IF(AND(D57="Adoption of a transition plan is planned in the future",OR(I59="",I60="",I61="")),
"MISSING VALUE",IF(AND(D57="",OR(I59="",I60="",I61="")),
"",
IF(OR(
AND(I60="February",I61&gt;29),
AND(I60="February",I61=29,NOT(AND(MOD(I59,4)=0,OR(MOD(I59,100)&lt;&gt;0,MOD(I59,400)=0)))),
AND(OR(I60="April",I60="June",I60="September",I60="November"),I61=31)
),
"ERROR",
"OK")
)))</f>
        <v/>
      </c>
    </row>
    <row r="60" spans="1:12" x14ac:dyDescent="0.35">
      <c r="A60" s="640"/>
      <c r="B60" s="643"/>
      <c r="C60" s="646"/>
      <c r="D60" s="648" t="s">
        <v>4123</v>
      </c>
      <c r="E60" s="649"/>
      <c r="F60" s="649"/>
      <c r="G60" s="649"/>
      <c r="H60" s="650"/>
      <c r="I60" s="651"/>
      <c r="J60" s="652"/>
      <c r="K60" s="653"/>
      <c r="L60" s="638"/>
    </row>
    <row r="61" spans="1:12" x14ac:dyDescent="0.35">
      <c r="A61" s="640"/>
      <c r="B61" s="643"/>
      <c r="C61" s="646"/>
      <c r="D61" s="648" t="s">
        <v>4124</v>
      </c>
      <c r="E61" s="649"/>
      <c r="F61" s="649"/>
      <c r="G61" s="649"/>
      <c r="H61" s="650"/>
      <c r="I61" s="651"/>
      <c r="J61" s="652"/>
      <c r="K61" s="653"/>
      <c r="L61" s="638"/>
    </row>
    <row r="62" spans="1:12" ht="15" thickBot="1" x14ac:dyDescent="0.4">
      <c r="A62" s="641"/>
      <c r="B62" s="644"/>
      <c r="C62" s="647"/>
      <c r="D62" s="820" t="str">
        <f>IF(OR(ISBLANK(I59), ISBLANK(I60), ISBLANK(I61)), "-", TEXT(DATE(I59, MONTH(DATEVALUE("1 " &amp; I60)), I61), "dd/mm/yyyy"))</f>
        <v>-</v>
      </c>
      <c r="E62" s="820"/>
      <c r="F62" s="820"/>
      <c r="G62" s="820"/>
      <c r="H62" s="820"/>
      <c r="I62" s="820"/>
      <c r="J62" s="820"/>
      <c r="K62" s="821"/>
      <c r="L62" s="15"/>
    </row>
    <row r="63" spans="1:12" ht="15" thickBot="1" x14ac:dyDescent="0.4"/>
    <row r="64" spans="1:12" ht="14.9" customHeight="1" x14ac:dyDescent="0.35">
      <c r="C64" s="586" t="str">
        <f>"B3 - Intensité des émissions de gaz à effet de serre par rapport au chiffre d'affaires (en tCO2e) " &amp; template_reporting_period_display &amp;  " [obligatoire] "</f>
        <v xml:space="preserve">B3 - Intensité des émissions de gaz à effet de serre par rapport au chiffre d'affaires (en tCO2e) du - au - [obligatoire] </v>
      </c>
      <c r="D64" s="586"/>
      <c r="E64" s="586"/>
      <c r="F64" s="586"/>
      <c r="G64" s="586"/>
      <c r="H64" s="586"/>
      <c r="I64" s="586"/>
      <c r="J64" s="586"/>
      <c r="K64" s="680"/>
    </row>
    <row r="65" spans="3:12" ht="14.9" customHeight="1" x14ac:dyDescent="0.35">
      <c r="C65" s="678">
        <v>31</v>
      </c>
      <c r="D65" s="678"/>
      <c r="E65" s="678"/>
      <c r="F65" s="678"/>
      <c r="G65" s="678"/>
      <c r="H65" s="678"/>
      <c r="I65" s="678"/>
      <c r="J65" s="678"/>
      <c r="K65" s="679"/>
    </row>
    <row r="66" spans="3:12" x14ac:dyDescent="0.35">
      <c r="C66" s="575" t="s">
        <v>4820</v>
      </c>
      <c r="D66" s="576"/>
      <c r="E66" s="576"/>
      <c r="F66" s="576"/>
      <c r="G66" s="676" t="str">
        <f>IF(G29=TRUE,
   "-",
   IFERROR(
      IF(OR(D25="", Turnover=""), "-", D25/Turnover),
      "-"
   )
)</f>
        <v>-</v>
      </c>
      <c r="H66" s="676"/>
      <c r="I66" s="676"/>
      <c r="J66" s="676"/>
      <c r="K66" s="677"/>
    </row>
    <row r="67" spans="3:12" x14ac:dyDescent="0.35">
      <c r="C67" s="645" t="s">
        <v>4821</v>
      </c>
      <c r="D67" s="811"/>
      <c r="E67" s="811"/>
      <c r="F67" s="811"/>
      <c r="G67" s="812" t="str">
        <f>IF(G29=TRUE,
   "-",
   IFERROR(
      IF(OR(D26="", Turnover=""), "-", D26/Turnover),
      "-"
   )
)</f>
        <v>-</v>
      </c>
      <c r="H67" s="812"/>
      <c r="I67" s="812"/>
      <c r="J67" s="812"/>
      <c r="K67" s="813"/>
    </row>
    <row r="68" spans="3:12" x14ac:dyDescent="0.35">
      <c r="C68" s="575" t="s">
        <v>4822</v>
      </c>
      <c r="D68" s="576"/>
      <c r="E68" s="576"/>
      <c r="F68" s="744"/>
      <c r="G68" s="841" t="str">
        <f>IF(G29=FALSE,
   "-",
   IFERROR(
      IF(OR(D46="", Turnover=""), "-", D46/Turnover),
      "-"
   )
)</f>
        <v>-</v>
      </c>
      <c r="H68" s="842"/>
      <c r="I68" s="842"/>
      <c r="J68" s="842"/>
      <c r="K68" s="843"/>
    </row>
    <row r="69" spans="3:12" ht="15" thickBot="1" x14ac:dyDescent="0.4">
      <c r="C69" s="532" t="s">
        <v>4823</v>
      </c>
      <c r="D69" s="533"/>
      <c r="E69" s="533"/>
      <c r="F69" s="745"/>
      <c r="G69" s="850" t="str">
        <f>IF(G29=FALSE,
   "-",
   IFERROR(
      IF(OR(D47="", Turnover=""), "-", D47/Turnover),
      "-"
   )
)</f>
        <v>-</v>
      </c>
      <c r="H69" s="851"/>
      <c r="I69" s="851"/>
      <c r="J69" s="851"/>
      <c r="K69" s="852"/>
      <c r="L69" s="6"/>
    </row>
    <row r="70" spans="3:12" ht="15" thickBot="1" x14ac:dyDescent="0.4"/>
    <row r="71" spans="3:12" x14ac:dyDescent="0.35">
      <c r="C71" s="683" t="str">
        <f>"B4 - Pollution de l'air, de l'eau et des sols " &amp; template_reporting_period_display &amp; "  [si pertinent] "</f>
        <v xml:space="preserve">B4 - Pollution de l'air, de l'eau et des sols du - au -  [si pertinent] </v>
      </c>
      <c r="D71" s="684"/>
      <c r="E71" s="684"/>
      <c r="F71" s="684"/>
      <c r="G71" s="684"/>
      <c r="H71" s="684"/>
      <c r="I71" s="684"/>
      <c r="J71" s="684"/>
      <c r="K71" s="685"/>
    </row>
    <row r="72" spans="3:12" x14ac:dyDescent="0.35">
      <c r="C72" s="686">
        <v>32</v>
      </c>
      <c r="D72" s="687"/>
      <c r="E72" s="687"/>
      <c r="F72" s="687"/>
      <c r="G72" s="687"/>
      <c r="H72" s="687"/>
      <c r="I72" s="687"/>
      <c r="J72" s="687"/>
      <c r="K72" s="688"/>
    </row>
    <row r="73" spans="3:12" x14ac:dyDescent="0.35">
      <c r="C73" s="711" t="s">
        <v>3932</v>
      </c>
      <c r="D73" s="712"/>
      <c r="E73" s="712"/>
      <c r="F73" s="712"/>
      <c r="G73" s="712"/>
      <c r="H73" s="712"/>
      <c r="I73" s="712"/>
      <c r="J73" s="712"/>
      <c r="K73" s="767"/>
    </row>
    <row r="74" spans="3:12" ht="30" customHeight="1" x14ac:dyDescent="0.35">
      <c r="C74" s="607" t="s">
        <v>4771</v>
      </c>
      <c r="D74" s="788"/>
      <c r="E74" s="788"/>
      <c r="F74" s="608"/>
      <c r="G74" s="825" t="b">
        <v>0</v>
      </c>
      <c r="H74" s="826"/>
      <c r="I74" s="826"/>
      <c r="J74" s="826"/>
      <c r="K74" s="827"/>
      <c r="L74" s="15"/>
    </row>
    <row r="75" spans="3:12" x14ac:dyDescent="0.35">
      <c r="C75" s="575" t="s">
        <v>4125</v>
      </c>
      <c r="D75" s="576"/>
      <c r="E75" s="576"/>
      <c r="F75" s="576"/>
      <c r="G75" s="831" t="b">
        <v>0</v>
      </c>
      <c r="H75" s="831"/>
      <c r="I75" s="831"/>
      <c r="J75" s="831"/>
      <c r="K75" s="832"/>
      <c r="L75" s="15" t="str" cm="1">
        <f t="array" ref="L75">IF(AND(G75=TRUE,D80:K119=""),"OK",IF(AND(OR(D80:K119&lt;&gt;""),G75=TRUE),"VALUE INCONSISTENCY",""))</f>
        <v/>
      </c>
    </row>
    <row r="76" spans="3:12" x14ac:dyDescent="0.35">
      <c r="C76" s="575" t="s">
        <v>4126</v>
      </c>
      <c r="D76" s="576"/>
      <c r="E76" s="576"/>
      <c r="F76" s="576"/>
      <c r="G76" s="853"/>
      <c r="H76" s="671"/>
      <c r="I76" s="671"/>
      <c r="J76" s="671"/>
      <c r="K76" s="854"/>
      <c r="L76" s="15" t="str">
        <f>IF(G75=TRUE,
   IF(G76="",
      "MISSING VALUE",
      IF(OR(LEFT(G76,7)="http://", LEFT(G76,8)="https://", LEFT(G76,4)="www."),
         "OK",
         "INVALID URL")),
   "")</f>
        <v/>
      </c>
    </row>
    <row r="77" spans="3:12" x14ac:dyDescent="0.35">
      <c r="C77" s="814" t="s">
        <v>4127</v>
      </c>
      <c r="D77" s="815"/>
      <c r="E77" s="815"/>
      <c r="F77" s="815"/>
      <c r="G77" s="815"/>
      <c r="H77" s="815"/>
      <c r="I77" s="815"/>
      <c r="J77" s="815"/>
      <c r="K77" s="816"/>
    </row>
    <row r="78" spans="3:12" x14ac:dyDescent="0.35">
      <c r="C78" s="817"/>
      <c r="D78" s="818"/>
      <c r="E78" s="818"/>
      <c r="F78" s="818"/>
      <c r="G78" s="818"/>
      <c r="H78" s="818"/>
      <c r="I78" s="818"/>
      <c r="J78" s="818"/>
      <c r="K78" s="819"/>
      <c r="L78" s="16" t="str" cm="1">
        <f t="array" ref="L78">IF(AND(OR(D80:F119&lt;&gt;"",G80:I119&lt;&gt;"",J80:J119&lt;&gt;"",G162&lt;&gt;"",K80:K119&lt;&gt;""),C78&lt;&gt;"",G74=TRUE,G75=FALSE),"OK",
IF(AND(OR(D80:F119&lt;&gt;"",G80:I119&lt;&gt;"",J80:J119&lt;&gt;"",G162&lt;&gt;"",K80:K119&lt;&gt;""),C78&lt;&gt;"",G74=TRUE,G75=TRUE),"VALUE INCONSISTENCY",
IF(AND(OR(D80:D119="",G80:G119="",J80:J119="",K80:K119=""),C78&lt;&gt;"",G74=TRUE,G75=FALSE),"OK",
IF(AND(OR(D80:D119="",G80:G119="",J80:J119="",K80:K119=""),C78&lt;&gt;"",G74=TRUE,G75=TRUE),"VALUE INCONSISTENCY",
IF(AND(OR(D80:F119&lt;&gt;"",G80:I119&lt;&gt;"",J80:J119&lt;&gt;"",G162&lt;&gt;"",K80:K119&lt;&gt;""),C78="",G74=TRUE,G75=FALSE),"MISSING VALUE","")))))</f>
        <v/>
      </c>
    </row>
    <row r="79" spans="3:12" x14ac:dyDescent="0.35">
      <c r="C79" s="116" t="s">
        <v>0</v>
      </c>
      <c r="D79" s="740" t="s">
        <v>4128</v>
      </c>
      <c r="E79" s="740"/>
      <c r="F79" s="740"/>
      <c r="G79" s="740" t="s">
        <v>4129</v>
      </c>
      <c r="H79" s="740"/>
      <c r="I79" s="740"/>
      <c r="J79" s="5" t="s">
        <v>4130</v>
      </c>
      <c r="K79" s="106" t="s">
        <v>4131</v>
      </c>
    </row>
    <row r="80" spans="3:12" x14ac:dyDescent="0.35">
      <c r="C80" s="3">
        <v>1</v>
      </c>
      <c r="D80" s="671"/>
      <c r="E80" s="671"/>
      <c r="F80" s="671"/>
      <c r="G80" s="663"/>
      <c r="H80" s="664"/>
      <c r="I80" s="665"/>
      <c r="J80" s="273"/>
      <c r="K80" s="275"/>
      <c r="L80" s="15" t="str">
        <f>IF(AND($G$74=TRUE,$G$75=TRUE,OR(D80&lt;&gt;"",G80&lt;&gt;"",J80&lt;&gt;"",K80&lt;&gt;"")),
    "VALUE INCONSISTENCY",
IF($G$74&lt;&gt;TRUE, "",
IF(AND(D80="", G80="", J80="", K80=""), "",
IF(AND(D80&lt;&gt;"", G80="", J80="", K80=""), "MISSING VALUE",
IF(AND(D80&lt;&gt;"", OR(G80&lt;&gt;"", J80&lt;&gt;"", K80&lt;&gt;"")),
    IF(COUNTIF($D$80:$D$119, D80)&gt;1, "VALUE INCONSISTENCY", "OK"),
"MISSING VALUE")))))</f>
        <v/>
      </c>
    </row>
    <row r="81" spans="3:12" x14ac:dyDescent="0.35">
      <c r="C81" s="3">
        <v>2</v>
      </c>
      <c r="D81" s="671"/>
      <c r="E81" s="671"/>
      <c r="F81" s="671"/>
      <c r="G81" s="663"/>
      <c r="H81" s="664"/>
      <c r="I81" s="665"/>
      <c r="J81" s="273"/>
      <c r="K81" s="275"/>
      <c r="L81" s="15" t="str">
        <f>IF(AND($G$74=TRUE,$G$75=TRUE,OR(D81&lt;&gt;"",G81&lt;&gt;"",J81&lt;&gt;"",K81&lt;&gt;"")),
    "VALUE INCONSISTENCY",
IF($G$74&lt;&gt;TRUE, "",
IF(AND(D81="", G81="", J81="", K81=""), "",
IF(AND(D81&lt;&gt;"", G81="", J81="", K81=""), "MISSING VALUE",
IF(AND(D81&lt;&gt;"", OR(G81&lt;&gt;"", J81&lt;&gt;"", K81&lt;&gt;"")),
    IF(COUNTIF($D$80:$D$119, D81)&gt;1, "VALUE INCONSISTENCY", "OK"),
"MISSING VALUE")))))</f>
        <v/>
      </c>
    </row>
    <row r="82" spans="3:12" ht="15" thickBot="1" x14ac:dyDescent="0.4">
      <c r="C82" s="4">
        <v>3</v>
      </c>
      <c r="D82" s="672"/>
      <c r="E82" s="672"/>
      <c r="F82" s="672"/>
      <c r="G82" s="667"/>
      <c r="H82" s="668"/>
      <c r="I82" s="669"/>
      <c r="J82" s="276"/>
      <c r="K82" s="277"/>
      <c r="L82" s="15" t="str">
        <f t="shared" ref="L82:L119" si="1">IF(AND($G$74=TRUE,$G$75=TRUE,OR(D82&lt;&gt;"",G82&lt;&gt;"",J82&lt;&gt;"",K82&lt;&gt;"")),
    "VALUE INCONSISTENCY",
IF($G$74&lt;&gt;TRUE, "",
IF(AND(D82="", G82="", J82="", K82=""), "",
IF(AND(D82&lt;&gt;"", G82="", J82="", K82=""), "MISSING VALUE",
IF(AND(D82&lt;&gt;"", OR(G82&lt;&gt;"", J82&lt;&gt;"", K82&lt;&gt;"")),
    IF(COUNTIF($D$80:$D$119, D82)&gt;1, "VALUE INCONSISTENCY", "OK"),
"MISSING VALUE")))))</f>
        <v/>
      </c>
    </row>
    <row r="83" spans="3:12" hidden="1" outlineLevel="1" x14ac:dyDescent="0.35">
      <c r="C83" s="11">
        <v>4</v>
      </c>
      <c r="D83" s="773"/>
      <c r="E83" s="773"/>
      <c r="F83" s="773"/>
      <c r="G83" s="670"/>
      <c r="H83" s="670"/>
      <c r="I83" s="670"/>
      <c r="J83" s="278"/>
      <c r="K83" s="279"/>
      <c r="L83" s="15" t="str">
        <f t="shared" si="1"/>
        <v/>
      </c>
    </row>
    <row r="84" spans="3:12" hidden="1" outlineLevel="1" x14ac:dyDescent="0.35">
      <c r="C84" s="3">
        <v>5</v>
      </c>
      <c r="D84" s="671"/>
      <c r="E84" s="671"/>
      <c r="F84" s="671"/>
      <c r="G84" s="666"/>
      <c r="H84" s="666"/>
      <c r="I84" s="666"/>
      <c r="J84" s="273"/>
      <c r="K84" s="275"/>
      <c r="L84" s="15" t="str">
        <f t="shared" si="1"/>
        <v/>
      </c>
    </row>
    <row r="85" spans="3:12" hidden="1" outlineLevel="1" x14ac:dyDescent="0.35">
      <c r="C85" s="3">
        <v>6</v>
      </c>
      <c r="D85" s="671"/>
      <c r="E85" s="671"/>
      <c r="F85" s="671"/>
      <c r="G85" s="666"/>
      <c r="H85" s="666"/>
      <c r="I85" s="666"/>
      <c r="J85" s="273"/>
      <c r="K85" s="275"/>
      <c r="L85" s="15" t="str">
        <f t="shared" si="1"/>
        <v/>
      </c>
    </row>
    <row r="86" spans="3:12" hidden="1" outlineLevel="1" x14ac:dyDescent="0.35">
      <c r="C86" s="3">
        <v>7</v>
      </c>
      <c r="D86" s="671"/>
      <c r="E86" s="671"/>
      <c r="F86" s="671"/>
      <c r="G86" s="666"/>
      <c r="H86" s="666"/>
      <c r="I86" s="666"/>
      <c r="J86" s="273"/>
      <c r="K86" s="275"/>
      <c r="L86" s="15" t="str">
        <f t="shared" si="1"/>
        <v/>
      </c>
    </row>
    <row r="87" spans="3:12" hidden="1" outlineLevel="1" x14ac:dyDescent="0.35">
      <c r="C87" s="3">
        <v>8</v>
      </c>
      <c r="D87" s="671"/>
      <c r="E87" s="671"/>
      <c r="F87" s="671"/>
      <c r="G87" s="666"/>
      <c r="H87" s="666"/>
      <c r="I87" s="666"/>
      <c r="J87" s="273"/>
      <c r="K87" s="275"/>
      <c r="L87" s="15" t="str">
        <f t="shared" si="1"/>
        <v/>
      </c>
    </row>
    <row r="88" spans="3:12" hidden="1" outlineLevel="1" x14ac:dyDescent="0.35">
      <c r="C88" s="3">
        <v>9</v>
      </c>
      <c r="D88" s="671"/>
      <c r="E88" s="671"/>
      <c r="F88" s="671"/>
      <c r="G88" s="666"/>
      <c r="H88" s="666"/>
      <c r="I88" s="666"/>
      <c r="J88" s="273"/>
      <c r="K88" s="275"/>
      <c r="L88" s="15" t="str">
        <f t="shared" si="1"/>
        <v/>
      </c>
    </row>
    <row r="89" spans="3:12" hidden="1" outlineLevel="1" x14ac:dyDescent="0.35">
      <c r="C89" s="3">
        <v>10</v>
      </c>
      <c r="D89" s="671"/>
      <c r="E89" s="671"/>
      <c r="F89" s="671"/>
      <c r="G89" s="666"/>
      <c r="H89" s="666"/>
      <c r="I89" s="666"/>
      <c r="J89" s="273"/>
      <c r="K89" s="275"/>
      <c r="L89" s="15" t="str">
        <f t="shared" si="1"/>
        <v/>
      </c>
    </row>
    <row r="90" spans="3:12" hidden="1" outlineLevel="1" x14ac:dyDescent="0.35">
      <c r="C90" s="3">
        <v>11</v>
      </c>
      <c r="D90" s="671"/>
      <c r="E90" s="671"/>
      <c r="F90" s="671"/>
      <c r="G90" s="666"/>
      <c r="H90" s="666"/>
      <c r="I90" s="666"/>
      <c r="J90" s="273"/>
      <c r="K90" s="275"/>
      <c r="L90" s="15" t="str">
        <f t="shared" si="1"/>
        <v/>
      </c>
    </row>
    <row r="91" spans="3:12" hidden="1" outlineLevel="1" x14ac:dyDescent="0.35">
      <c r="C91" s="3">
        <v>12</v>
      </c>
      <c r="D91" s="671"/>
      <c r="E91" s="671"/>
      <c r="F91" s="671"/>
      <c r="G91" s="666"/>
      <c r="H91" s="666"/>
      <c r="I91" s="666"/>
      <c r="J91" s="273"/>
      <c r="K91" s="275"/>
      <c r="L91" s="15" t="str">
        <f t="shared" si="1"/>
        <v/>
      </c>
    </row>
    <row r="92" spans="3:12" hidden="1" outlineLevel="1" x14ac:dyDescent="0.35">
      <c r="C92" s="3">
        <v>13</v>
      </c>
      <c r="D92" s="671"/>
      <c r="E92" s="671"/>
      <c r="F92" s="671"/>
      <c r="G92" s="666"/>
      <c r="H92" s="666"/>
      <c r="I92" s="666"/>
      <c r="J92" s="273"/>
      <c r="K92" s="275"/>
      <c r="L92" s="15" t="str">
        <f t="shared" si="1"/>
        <v/>
      </c>
    </row>
    <row r="93" spans="3:12" hidden="1" outlineLevel="1" x14ac:dyDescent="0.35">
      <c r="C93" s="3">
        <v>14</v>
      </c>
      <c r="D93" s="671"/>
      <c r="E93" s="671"/>
      <c r="F93" s="671"/>
      <c r="G93" s="666"/>
      <c r="H93" s="666"/>
      <c r="I93" s="666"/>
      <c r="J93" s="273"/>
      <c r="K93" s="275"/>
      <c r="L93" s="15" t="str">
        <f t="shared" si="1"/>
        <v/>
      </c>
    </row>
    <row r="94" spans="3:12" hidden="1" outlineLevel="1" x14ac:dyDescent="0.35">
      <c r="C94" s="3">
        <v>15</v>
      </c>
      <c r="D94" s="671"/>
      <c r="E94" s="671"/>
      <c r="F94" s="671"/>
      <c r="G94" s="666"/>
      <c r="H94" s="666"/>
      <c r="I94" s="666"/>
      <c r="J94" s="273"/>
      <c r="K94" s="275"/>
      <c r="L94" s="15" t="str">
        <f t="shared" si="1"/>
        <v/>
      </c>
    </row>
    <row r="95" spans="3:12" hidden="1" outlineLevel="1" x14ac:dyDescent="0.35">
      <c r="C95" s="3">
        <v>16</v>
      </c>
      <c r="D95" s="671"/>
      <c r="E95" s="671"/>
      <c r="F95" s="671"/>
      <c r="G95" s="666"/>
      <c r="H95" s="666"/>
      <c r="I95" s="666"/>
      <c r="J95" s="273"/>
      <c r="K95" s="275"/>
      <c r="L95" s="15" t="str">
        <f t="shared" si="1"/>
        <v/>
      </c>
    </row>
    <row r="96" spans="3:12" hidden="1" outlineLevel="1" x14ac:dyDescent="0.35">
      <c r="C96" s="3">
        <v>17</v>
      </c>
      <c r="D96" s="671"/>
      <c r="E96" s="671"/>
      <c r="F96" s="671"/>
      <c r="G96" s="666"/>
      <c r="H96" s="666"/>
      <c r="I96" s="666"/>
      <c r="J96" s="273"/>
      <c r="K96" s="275"/>
      <c r="L96" s="15" t="str">
        <f t="shared" si="1"/>
        <v/>
      </c>
    </row>
    <row r="97" spans="3:13" hidden="1" outlineLevel="1" x14ac:dyDescent="0.35">
      <c r="C97" s="3">
        <v>18</v>
      </c>
      <c r="D97" s="671"/>
      <c r="E97" s="671"/>
      <c r="F97" s="671"/>
      <c r="G97" s="666"/>
      <c r="H97" s="666"/>
      <c r="I97" s="666"/>
      <c r="J97" s="273"/>
      <c r="K97" s="275"/>
      <c r="L97" s="15" t="str">
        <f t="shared" si="1"/>
        <v/>
      </c>
    </row>
    <row r="98" spans="3:13" hidden="1" outlineLevel="1" x14ac:dyDescent="0.35">
      <c r="C98" s="3">
        <v>19</v>
      </c>
      <c r="D98" s="671"/>
      <c r="E98" s="671"/>
      <c r="F98" s="671"/>
      <c r="G98" s="666"/>
      <c r="H98" s="666"/>
      <c r="I98" s="666"/>
      <c r="J98" s="273"/>
      <c r="K98" s="275"/>
      <c r="L98" s="15" t="str">
        <f t="shared" si="1"/>
        <v/>
      </c>
    </row>
    <row r="99" spans="3:13" hidden="1" outlineLevel="1" x14ac:dyDescent="0.35">
      <c r="C99" s="3">
        <v>20</v>
      </c>
      <c r="D99" s="671"/>
      <c r="E99" s="671"/>
      <c r="F99" s="671"/>
      <c r="G99" s="666"/>
      <c r="H99" s="666"/>
      <c r="I99" s="666"/>
      <c r="J99" s="273"/>
      <c r="K99" s="275"/>
      <c r="L99" s="15" t="str">
        <f t="shared" si="1"/>
        <v/>
      </c>
    </row>
    <row r="100" spans="3:13" hidden="1" outlineLevel="1" x14ac:dyDescent="0.35">
      <c r="C100" s="3">
        <v>21</v>
      </c>
      <c r="D100" s="671"/>
      <c r="E100" s="671"/>
      <c r="F100" s="671"/>
      <c r="G100" s="666"/>
      <c r="H100" s="666"/>
      <c r="I100" s="666"/>
      <c r="J100" s="273"/>
      <c r="K100" s="275"/>
      <c r="L100" s="15" t="str">
        <f t="shared" si="1"/>
        <v/>
      </c>
    </row>
    <row r="101" spans="3:13" hidden="1" outlineLevel="1" x14ac:dyDescent="0.35">
      <c r="C101" s="3">
        <v>22</v>
      </c>
      <c r="D101" s="671"/>
      <c r="E101" s="671"/>
      <c r="F101" s="671"/>
      <c r="G101" s="666"/>
      <c r="H101" s="666"/>
      <c r="I101" s="666"/>
      <c r="J101" s="273"/>
      <c r="K101" s="275"/>
      <c r="L101" s="15" t="str">
        <f t="shared" si="1"/>
        <v/>
      </c>
    </row>
    <row r="102" spans="3:13" hidden="1" outlineLevel="1" x14ac:dyDescent="0.35">
      <c r="C102" s="3">
        <v>23</v>
      </c>
      <c r="D102" s="671"/>
      <c r="E102" s="671"/>
      <c r="F102" s="671"/>
      <c r="G102" s="666"/>
      <c r="H102" s="666"/>
      <c r="I102" s="666"/>
      <c r="J102" s="273"/>
      <c r="K102" s="275"/>
      <c r="L102" s="15" t="str">
        <f t="shared" si="1"/>
        <v/>
      </c>
    </row>
    <row r="103" spans="3:13" hidden="1" outlineLevel="1" x14ac:dyDescent="0.35">
      <c r="C103" s="3">
        <v>24</v>
      </c>
      <c r="D103" s="671"/>
      <c r="E103" s="671"/>
      <c r="F103" s="671"/>
      <c r="G103" s="666"/>
      <c r="H103" s="666"/>
      <c r="I103" s="666"/>
      <c r="J103" s="273"/>
      <c r="K103" s="275"/>
      <c r="L103" s="15" t="str">
        <f t="shared" si="1"/>
        <v/>
      </c>
    </row>
    <row r="104" spans="3:13" hidden="1" outlineLevel="1" x14ac:dyDescent="0.35">
      <c r="C104" s="3">
        <v>25</v>
      </c>
      <c r="D104" s="671"/>
      <c r="E104" s="671"/>
      <c r="F104" s="671"/>
      <c r="G104" s="666"/>
      <c r="H104" s="666"/>
      <c r="I104" s="666"/>
      <c r="J104" s="273"/>
      <c r="K104" s="275"/>
      <c r="L104" s="15" t="str">
        <f t="shared" si="1"/>
        <v/>
      </c>
    </row>
    <row r="105" spans="3:13" hidden="1" outlineLevel="1" x14ac:dyDescent="0.35">
      <c r="C105" s="3">
        <v>26</v>
      </c>
      <c r="D105" s="671"/>
      <c r="E105" s="671"/>
      <c r="F105" s="671"/>
      <c r="G105" s="666"/>
      <c r="H105" s="666"/>
      <c r="I105" s="666"/>
      <c r="J105" s="273"/>
      <c r="K105" s="275"/>
      <c r="L105" s="15" t="str">
        <f t="shared" si="1"/>
        <v/>
      </c>
    </row>
    <row r="106" spans="3:13" hidden="1" outlineLevel="1" x14ac:dyDescent="0.35">
      <c r="C106" s="3">
        <v>27</v>
      </c>
      <c r="D106" s="671"/>
      <c r="E106" s="671"/>
      <c r="F106" s="671"/>
      <c r="G106" s="666"/>
      <c r="H106" s="666"/>
      <c r="I106" s="666"/>
      <c r="J106" s="273"/>
      <c r="K106" s="275"/>
      <c r="L106" s="15" t="str">
        <f t="shared" si="1"/>
        <v/>
      </c>
    </row>
    <row r="107" spans="3:13" hidden="1" outlineLevel="1" x14ac:dyDescent="0.35">
      <c r="C107" s="3">
        <v>28</v>
      </c>
      <c r="D107" s="671"/>
      <c r="E107" s="671"/>
      <c r="F107" s="671"/>
      <c r="G107" s="666"/>
      <c r="H107" s="666"/>
      <c r="I107" s="666"/>
      <c r="J107" s="273"/>
      <c r="K107" s="275"/>
      <c r="L107" s="15" t="str">
        <f t="shared" si="1"/>
        <v/>
      </c>
    </row>
    <row r="108" spans="3:13" hidden="1" outlineLevel="1" x14ac:dyDescent="0.35">
      <c r="C108" s="3">
        <v>29</v>
      </c>
      <c r="D108" s="671"/>
      <c r="E108" s="671"/>
      <c r="F108" s="671"/>
      <c r="G108" s="666"/>
      <c r="H108" s="666"/>
      <c r="I108" s="666"/>
      <c r="J108" s="273"/>
      <c r="K108" s="275"/>
      <c r="L108" s="15" t="str">
        <f t="shared" si="1"/>
        <v/>
      </c>
      <c r="M108" s="117"/>
    </row>
    <row r="109" spans="3:13" hidden="1" outlineLevel="1" x14ac:dyDescent="0.35">
      <c r="C109" s="3">
        <v>30</v>
      </c>
      <c r="D109" s="671"/>
      <c r="E109" s="671"/>
      <c r="F109" s="671"/>
      <c r="G109" s="666"/>
      <c r="H109" s="666"/>
      <c r="I109" s="666"/>
      <c r="J109" s="273"/>
      <c r="K109" s="275"/>
      <c r="L109" s="15" t="str">
        <f t="shared" si="1"/>
        <v/>
      </c>
    </row>
    <row r="110" spans="3:13" hidden="1" outlineLevel="1" x14ac:dyDescent="0.35">
      <c r="C110" s="3">
        <v>31</v>
      </c>
      <c r="D110" s="671"/>
      <c r="E110" s="671"/>
      <c r="F110" s="671"/>
      <c r="G110" s="666"/>
      <c r="H110" s="666"/>
      <c r="I110" s="666"/>
      <c r="J110" s="273"/>
      <c r="K110" s="275"/>
      <c r="L110" s="15" t="str">
        <f t="shared" si="1"/>
        <v/>
      </c>
    </row>
    <row r="111" spans="3:13" hidden="1" outlineLevel="1" x14ac:dyDescent="0.35">
      <c r="C111" s="3">
        <v>32</v>
      </c>
      <c r="D111" s="671"/>
      <c r="E111" s="671"/>
      <c r="F111" s="671"/>
      <c r="G111" s="666"/>
      <c r="H111" s="666"/>
      <c r="I111" s="666"/>
      <c r="J111" s="273"/>
      <c r="K111" s="275"/>
      <c r="L111" s="15" t="str">
        <f t="shared" si="1"/>
        <v/>
      </c>
    </row>
    <row r="112" spans="3:13" hidden="1" outlineLevel="1" x14ac:dyDescent="0.35">
      <c r="C112" s="3">
        <v>33</v>
      </c>
      <c r="D112" s="671"/>
      <c r="E112" s="671"/>
      <c r="F112" s="671"/>
      <c r="G112" s="666"/>
      <c r="H112" s="666"/>
      <c r="I112" s="666"/>
      <c r="J112" s="273"/>
      <c r="K112" s="275"/>
      <c r="L112" s="15" t="str">
        <f t="shared" si="1"/>
        <v/>
      </c>
    </row>
    <row r="113" spans="3:12" hidden="1" outlineLevel="1" x14ac:dyDescent="0.35">
      <c r="C113" s="3">
        <v>34</v>
      </c>
      <c r="D113" s="671"/>
      <c r="E113" s="671"/>
      <c r="F113" s="671"/>
      <c r="G113" s="666"/>
      <c r="H113" s="666"/>
      <c r="I113" s="666"/>
      <c r="J113" s="273"/>
      <c r="K113" s="275"/>
      <c r="L113" s="15" t="str">
        <f t="shared" si="1"/>
        <v/>
      </c>
    </row>
    <row r="114" spans="3:12" hidden="1" outlineLevel="1" x14ac:dyDescent="0.35">
      <c r="C114" s="3">
        <v>35</v>
      </c>
      <c r="D114" s="671"/>
      <c r="E114" s="671"/>
      <c r="F114" s="671"/>
      <c r="G114" s="666"/>
      <c r="H114" s="666"/>
      <c r="I114" s="666"/>
      <c r="J114" s="273"/>
      <c r="K114" s="275"/>
      <c r="L114" s="15" t="str">
        <f t="shared" si="1"/>
        <v/>
      </c>
    </row>
    <row r="115" spans="3:12" hidden="1" outlineLevel="1" x14ac:dyDescent="0.35">
      <c r="C115" s="3">
        <v>36</v>
      </c>
      <c r="D115" s="671"/>
      <c r="E115" s="671"/>
      <c r="F115" s="671"/>
      <c r="G115" s="666"/>
      <c r="H115" s="666"/>
      <c r="I115" s="666"/>
      <c r="J115" s="273"/>
      <c r="K115" s="275"/>
      <c r="L115" s="15" t="str">
        <f t="shared" si="1"/>
        <v/>
      </c>
    </row>
    <row r="116" spans="3:12" hidden="1" outlineLevel="1" x14ac:dyDescent="0.35">
      <c r="C116" s="3">
        <v>37</v>
      </c>
      <c r="D116" s="671"/>
      <c r="E116" s="671"/>
      <c r="F116" s="671"/>
      <c r="G116" s="666"/>
      <c r="H116" s="666"/>
      <c r="I116" s="666"/>
      <c r="J116" s="273"/>
      <c r="K116" s="275"/>
      <c r="L116" s="15" t="str">
        <f t="shared" si="1"/>
        <v/>
      </c>
    </row>
    <row r="117" spans="3:12" hidden="1" outlineLevel="1" x14ac:dyDescent="0.35">
      <c r="C117" s="3">
        <v>38</v>
      </c>
      <c r="D117" s="671"/>
      <c r="E117" s="671"/>
      <c r="F117" s="671"/>
      <c r="G117" s="666"/>
      <c r="H117" s="666"/>
      <c r="I117" s="666"/>
      <c r="J117" s="273"/>
      <c r="K117" s="275"/>
      <c r="L117" s="15" t="str">
        <f t="shared" si="1"/>
        <v/>
      </c>
    </row>
    <row r="118" spans="3:12" hidden="1" outlineLevel="1" x14ac:dyDescent="0.35">
      <c r="C118" s="3">
        <v>39</v>
      </c>
      <c r="D118" s="671"/>
      <c r="E118" s="671"/>
      <c r="F118" s="671"/>
      <c r="G118" s="666"/>
      <c r="H118" s="666"/>
      <c r="I118" s="666"/>
      <c r="J118" s="273"/>
      <c r="K118" s="275"/>
      <c r="L118" s="15" t="str">
        <f t="shared" si="1"/>
        <v/>
      </c>
    </row>
    <row r="119" spans="3:12" ht="15" hidden="1" outlineLevel="1" thickBot="1" x14ac:dyDescent="0.4">
      <c r="C119" s="3">
        <v>40</v>
      </c>
      <c r="D119" s="671"/>
      <c r="E119" s="671"/>
      <c r="F119" s="671"/>
      <c r="G119" s="879"/>
      <c r="H119" s="879"/>
      <c r="I119" s="879"/>
      <c r="J119" s="276"/>
      <c r="K119" s="280"/>
      <c r="L119" s="15" t="str">
        <f t="shared" si="1"/>
        <v/>
      </c>
    </row>
    <row r="120" spans="3:12" ht="15" collapsed="1" thickBot="1" x14ac:dyDescent="0.4">
      <c r="C120" s="118"/>
      <c r="D120" s="118"/>
      <c r="E120" s="12"/>
      <c r="F120" s="12"/>
      <c r="G120" s="12"/>
      <c r="H120" s="12"/>
      <c r="I120" s="12"/>
      <c r="J120" s="12"/>
      <c r="K120" s="12"/>
    </row>
    <row r="121" spans="3:12" x14ac:dyDescent="0.35">
      <c r="C121" s="801" t="str">
        <f>"B5 - Sites situés dans des zones sensibles sur le plan de la biodiversité " &amp; template_reporting_period_display &amp;   " [si pertinent]"</f>
        <v>B5 - Sites situés dans des zones sensibles sur le plan de la biodiversité du - au - [si pertinent]</v>
      </c>
      <c r="D121" s="801"/>
      <c r="E121" s="801"/>
      <c r="F121" s="801"/>
      <c r="G121" s="801"/>
      <c r="H121" s="801"/>
      <c r="I121" s="801"/>
      <c r="J121" s="801"/>
      <c r="K121" s="802"/>
    </row>
    <row r="122" spans="3:12" x14ac:dyDescent="0.35">
      <c r="C122" s="499">
        <v>33</v>
      </c>
      <c r="D122" s="499"/>
      <c r="E122" s="499"/>
      <c r="F122" s="499"/>
      <c r="G122" s="499"/>
      <c r="H122" s="499"/>
      <c r="I122" s="499"/>
      <c r="J122" s="499"/>
      <c r="K122" s="768"/>
    </row>
    <row r="123" spans="3:12" x14ac:dyDescent="0.35">
      <c r="C123" s="612" t="s">
        <v>3933</v>
      </c>
      <c r="D123" s="612"/>
      <c r="E123" s="612"/>
      <c r="F123" s="612"/>
      <c r="G123" s="612"/>
      <c r="H123" s="612"/>
      <c r="I123" s="612"/>
      <c r="J123" s="612"/>
      <c r="K123" s="769"/>
    </row>
    <row r="124" spans="3:12" x14ac:dyDescent="0.35">
      <c r="C124" s="655" t="s">
        <v>4132</v>
      </c>
      <c r="D124" s="656"/>
      <c r="E124" s="656"/>
      <c r="F124" s="656"/>
      <c r="G124" s="882" t="b">
        <v>0</v>
      </c>
      <c r="H124" s="883"/>
      <c r="I124" s="883"/>
      <c r="J124" s="883"/>
      <c r="K124" s="884"/>
    </row>
    <row r="125" spans="3:12" x14ac:dyDescent="0.35">
      <c r="C125" s="887" t="s">
        <v>4135</v>
      </c>
      <c r="D125" s="888"/>
      <c r="E125" s="888"/>
      <c r="F125" s="888"/>
      <c r="G125" s="888"/>
      <c r="H125" s="888"/>
      <c r="I125" s="888"/>
      <c r="J125" s="888"/>
      <c r="K125" s="889"/>
    </row>
    <row r="126" spans="3:12" ht="15" thickBot="1" x14ac:dyDescent="0.4">
      <c r="C126" s="817"/>
      <c r="D126" s="818"/>
      <c r="E126" s="818"/>
      <c r="F126" s="818"/>
      <c r="G126" s="818"/>
      <c r="H126" s="818"/>
      <c r="I126" s="818"/>
      <c r="J126" s="818"/>
      <c r="K126" s="819"/>
      <c r="L126" s="16" t="str">
        <f>IF(AND(G124=TRUE,C126=""),"MISSING VALUE",IF(AND(G124=TRUE,C126&lt;&gt;""),"OK",""))</f>
        <v/>
      </c>
    </row>
    <row r="127" spans="3:12" ht="57.65" customHeight="1" x14ac:dyDescent="0.35">
      <c r="C127" s="119" t="s">
        <v>4133</v>
      </c>
      <c r="D127" s="803" t="s">
        <v>4134</v>
      </c>
      <c r="E127" s="804"/>
      <c r="F127" s="805"/>
      <c r="G127" s="803" t="s">
        <v>4136</v>
      </c>
      <c r="H127" s="804"/>
      <c r="I127" s="805"/>
      <c r="J127" s="225" t="s">
        <v>4137</v>
      </c>
      <c r="K127" s="226" t="s">
        <v>4138</v>
      </c>
    </row>
    <row r="128" spans="3:12" x14ac:dyDescent="0.35">
      <c r="C128" s="217"/>
      <c r="D128" s="770" t="str">
        <f>IF(C128 = "", "",
IF(AND(COUNTIF('Informations générales'!C108:C132, C128),
        INDEX('Informations générales'!D108:D132, MATCH(C128, 'Informations générales'!C108:C132, 0)) = ""),
   "VALEUR NON CONFORME",
IFERROR(VLOOKUP(C128, ListOfSitesTable, 5, FALSE),"") &amp; " " &amp;
IFERROR(VLOOKUP(C128, ListOfSitesTable, 4, FALSE),"") &amp; " " &amp;
IFERROR(VLOOKUP(C128, ListOfSitesTable, 2, FALSE),"")))</f>
        <v/>
      </c>
      <c r="E128" s="771"/>
      <c r="F128" s="772"/>
      <c r="G128" s="798"/>
      <c r="H128" s="799"/>
      <c r="I128" s="799"/>
      <c r="J128" s="228" t="b">
        <v>0</v>
      </c>
      <c r="K128" s="64" t="b">
        <v>0</v>
      </c>
      <c r="L128" s="16" t="str">
        <f t="shared" ref="L128:L153" si="2">IF($G$124=FALSE, "",
    IF(AND($G$124=TRUE, TRIM(D128)&lt;&gt;"", TRIM(G128)&lt;&gt;"", OR(J128=TRUE, K128=TRUE)), "OK",
        IF(AND($G$124=TRUE, TRIM(D128)&lt;&gt;"", TRIM(G128)&lt;&gt;"", J128=FALSE, K128=FALSE), "MISSING VALUE",
            IF(AND($G$124=TRUE, TRIM(D128)&lt;&gt;"", TRIM(G128)="", J128=FALSE, K128=FALSE), "MISSING VALUE",
                IF(AND($G$124=TRUE, TRIM(D128)&lt;&gt;"", TRIM(G128)="", OR(J128=TRUE, K128=TRUE)), "MISSING VALUE",
                    IF(AND($G$124=TRUE, TRIM(D128)="", TRIM(G128)&lt;&gt;"", J128=FALSE, K128=FALSE), "MISSING VALUE",
                        IF(AND($G$124=TRUE, TRIM(D128)="", TRIM(G128)="", OR(J128=TRUE, K128=TRUE)), "MISSING VALUE",
                            IF(AND($G$124=TRUE, TRIM(D128)="", TRIM(G128)&lt;&gt;"", OR(J128=TRUE, K128=TRUE)), "MISSING VALUE",
                                ""
                            )
                        )
                    )
                )
            )
        )
    )
)</f>
        <v/>
      </c>
    </row>
    <row r="129" spans="3:17" x14ac:dyDescent="0.35">
      <c r="C129" s="218"/>
      <c r="D129" s="660" t="str">
        <f>IF(C129 = "", "",
IF(COUNTIF($C$128:C128, C129), "VALEUR NON CONFORME",
IF(AND(COUNTIF('Informations générales'!$C$108:$C$132, C129),
       INDEX('Informations générales'!$D$108:$D$132, MATCH(C129, 'Informations générales'!$C$108:$C$132, 0)) = ""),
   "VALEUR NON CONFORME",
IFERROR(VLOOKUP(C129, ListOfSitesTable, 5, FALSE), "") &amp; " " &amp;
IFERROR(VLOOKUP(C129, ListOfSitesTable, 4, FALSE), "") &amp; " " &amp;
IFERROR(VLOOKUP(C129, ListOfSitesTable, 2, FALSE), ""))))</f>
        <v/>
      </c>
      <c r="E129" s="661"/>
      <c r="F129" s="662"/>
      <c r="G129" s="798"/>
      <c r="H129" s="799"/>
      <c r="I129" s="799"/>
      <c r="J129" s="228" t="b">
        <v>0</v>
      </c>
      <c r="K129" s="64" t="b">
        <v>0</v>
      </c>
      <c r="L129" s="16" t="str">
        <f>IF($G$124=FALSE, "",
    IF(AND($G$124=TRUE, TRIM(D129)&lt;&gt;"", TRIM(G129)&lt;&gt;"", OR(J129=TRUE, K129=TRUE)), "OK",
        IF(AND($G$124=TRUE, TRIM(D129)&lt;&gt;"", TRIM(G129)&lt;&gt;"", J129=FALSE, K129=FALSE), "MISSING VALUE",
            IF(AND($G$124=TRUE, TRIM(D129)&lt;&gt;"", TRIM(G129)="", J129=FALSE, K129=FALSE), "MISSING VALUE",
                IF(AND($G$124=TRUE, TRIM(D129)&lt;&gt;"", TRIM(G129)="", OR(J129=TRUE, K129=TRUE)), "MISSING VALUE",
                    IF(AND($G$124=TRUE, TRIM(D129)="", TRIM(G129)&lt;&gt;"", J129=FALSE, K129=FALSE), "MISSING VALUE",
                        IF(AND($G$124=TRUE, TRIM(D129)="", TRIM(G129)="", OR(J129=TRUE, K129=TRUE)), "MISSING VALUE",
                            IF(AND($G$124=TRUE, TRIM(D129)="", TRIM(G129)&lt;&gt;"", OR(J129=TRUE, K129=TRUE)), "MISSING VALUE",
                                ""
                            )
                        )
                    )
                )
            )
        )
    )
)</f>
        <v/>
      </c>
    </row>
    <row r="130" spans="3:17" ht="15" thickBot="1" x14ac:dyDescent="0.4">
      <c r="C130" s="219"/>
      <c r="D130" s="725" t="str">
        <f>IF(C130 = "", "",
IF(COUNTIF($C$128:C129, C130), "VALEUR NON CONFORME",
IF(AND(COUNTIF('Informations générales'!$C$108:$C$132, C130),
       INDEX('Informations générales'!$D$108:$D$132, MATCH(C130, 'Informations générales'!$C$108:$C$132, 0)) = ""),
   "VALEUR NON CONFORME",
IFERROR(VLOOKUP(C130, ListOfSitesTable, 5, FALSE), "") &amp; " " &amp;
IFERROR(VLOOKUP(C130, ListOfSitesTable, 4, FALSE), "") &amp; " " &amp;
IFERROR(VLOOKUP(C130, ListOfSitesTable, 2, FALSE), ""))))</f>
        <v/>
      </c>
      <c r="E130" s="726"/>
      <c r="F130" s="727"/>
      <c r="G130" s="729"/>
      <c r="H130" s="729"/>
      <c r="I130" s="729"/>
      <c r="J130" s="229" t="b">
        <v>0</v>
      </c>
      <c r="K130" s="60" t="b">
        <v>0</v>
      </c>
      <c r="L130" s="16" t="str">
        <f t="shared" si="2"/>
        <v/>
      </c>
    </row>
    <row r="131" spans="3:17" hidden="1" outlineLevel="1" x14ac:dyDescent="0.35">
      <c r="C131" s="218"/>
      <c r="D131" s="657" t="str">
        <f>IF(C131 = "", "",
IF(COUNTIF($C$128:C130, C131), "VALEUR NON CONFORME",
IF(AND(COUNTIF('Informations générales'!$C$108:$C$132, C131),
       INDEX('Informations générales'!$D$108:$D$132, MATCH(C131, 'Informations générales'!$C$108:$C$132, 0)) = ""),
   "VALUE INCONSISTENCY",
IFERROR(VLOOKUP(C131, ListOfSitesTable, 5, FALSE), "") &amp; " " &amp;
IFERROR(VLOOKUP(C131, ListOfSitesTable, 4, FALSE), "") &amp; " " &amp;
IFERROR(VLOOKUP(C131, ListOfSitesTable, 2, FALSE), ""))))</f>
        <v/>
      </c>
      <c r="E131" s="658"/>
      <c r="F131" s="659"/>
      <c r="G131" s="806"/>
      <c r="H131" s="807"/>
      <c r="I131" s="808"/>
      <c r="J131" s="230" t="b">
        <v>0</v>
      </c>
      <c r="K131" s="227" t="b">
        <v>0</v>
      </c>
      <c r="L131" s="16" t="str">
        <f t="shared" si="2"/>
        <v/>
      </c>
      <c r="M131" s="8"/>
      <c r="N131" s="8"/>
      <c r="O131" s="8"/>
      <c r="P131" s="8"/>
      <c r="Q131" s="8"/>
    </row>
    <row r="132" spans="3:17" hidden="1" outlineLevel="1" x14ac:dyDescent="0.35">
      <c r="C132" s="218"/>
      <c r="D132" s="660" t="str">
        <f>IF(C132 = "", "",
IF(COUNTIF($C$128:C131, C132), "VALEUR NON CONFORME",
IF(AND(COUNTIF('Informations générales'!$C$108:$C$132, C132),
       INDEX('Informations générales'!$D$108:$D$132, MATCH(C132, 'Informations générales'!$C$108:$C$132, 0)) = ""),
   "VALUE INCONSISTENCY",
IFERROR(VLOOKUP(C132, ListOfSitesTable, 5, FALSE), "") &amp; " " &amp;
IFERROR(VLOOKUP(C132, ListOfSitesTable, 4, FALSE), "") &amp; " " &amp;
IFERROR(VLOOKUP(C132, ListOfSitesTable, 2, FALSE), ""))))</f>
        <v/>
      </c>
      <c r="E132" s="661"/>
      <c r="F132" s="662"/>
      <c r="G132" s="798"/>
      <c r="H132" s="799"/>
      <c r="I132" s="800"/>
      <c r="J132" s="231" t="b">
        <v>0</v>
      </c>
      <c r="K132" s="64" t="b">
        <v>0</v>
      </c>
      <c r="L132" s="16" t="str">
        <f t="shared" si="2"/>
        <v/>
      </c>
      <c r="M132" s="8"/>
      <c r="N132" s="8"/>
      <c r="O132" s="8"/>
      <c r="P132" s="8"/>
      <c r="Q132" s="8"/>
    </row>
    <row r="133" spans="3:17" hidden="1" outlineLevel="1" x14ac:dyDescent="0.35">
      <c r="C133" s="218"/>
      <c r="D133" s="660" t="str">
        <f>IF(C133 = "", "",
IF(COUNTIF($C$128:C132, C133), "VALEUR NON CONFORME",
IF(AND(COUNTIF('Informations générales'!$C$108:$C$132, C133),
       INDEX('Informations générales'!$D$108:$D$132, MATCH(C133, 'Informations générales'!$C$108:$C$132, 0)) = ""),
   "VALUE INCONSISTENCY",
IFERROR(VLOOKUP(C133, ListOfSitesTable, 5, FALSE), "") &amp; " " &amp;
IFERROR(VLOOKUP(C133, ListOfSitesTable, 4, FALSE), "") &amp; " " &amp;
IFERROR(VLOOKUP(C133, ListOfSitesTable, 2, FALSE), ""))))</f>
        <v/>
      </c>
      <c r="E133" s="661"/>
      <c r="F133" s="662"/>
      <c r="G133" s="798"/>
      <c r="H133" s="799"/>
      <c r="I133" s="800"/>
      <c r="J133" s="231" t="b">
        <v>0</v>
      </c>
      <c r="K133" s="64" t="b">
        <v>0</v>
      </c>
      <c r="L133" s="16" t="str">
        <f t="shared" si="2"/>
        <v/>
      </c>
      <c r="M133" s="8"/>
      <c r="N133" s="8"/>
      <c r="O133" s="8"/>
      <c r="P133" s="8"/>
      <c r="Q133" s="8"/>
    </row>
    <row r="134" spans="3:17" hidden="1" outlineLevel="1" x14ac:dyDescent="0.35">
      <c r="C134" s="218"/>
      <c r="D134" s="660" t="str">
        <f>IF(C134 = "", "",
IF(COUNTIF($C$128:C133, C134), "VALEUR NON CONFORME",
IF(AND(COUNTIF('Informations générales'!$C$108:$C$132, C134),
       INDEX('Informations générales'!$D$108:$D$132, MATCH(C134, 'Informations générales'!$C$108:$C$132, 0)) = ""),
   "VALUE INCONSISTENCY",
IFERROR(VLOOKUP(C134, ListOfSitesTable, 5, FALSE), "") &amp; " " &amp;
IFERROR(VLOOKUP(C134, ListOfSitesTable, 4, FALSE), "") &amp; " " &amp;
IFERROR(VLOOKUP(C134, ListOfSitesTable, 2, FALSE), ""))))</f>
        <v/>
      </c>
      <c r="E134" s="661"/>
      <c r="F134" s="662"/>
      <c r="G134" s="798"/>
      <c r="H134" s="799"/>
      <c r="I134" s="800"/>
      <c r="J134" s="231" t="b">
        <v>0</v>
      </c>
      <c r="K134" s="64" t="b">
        <v>0</v>
      </c>
      <c r="L134" s="16" t="str">
        <f t="shared" si="2"/>
        <v/>
      </c>
      <c r="M134" s="8"/>
      <c r="N134" s="8"/>
      <c r="O134" s="8"/>
      <c r="P134" s="8"/>
      <c r="Q134" s="8"/>
    </row>
    <row r="135" spans="3:17" hidden="1" outlineLevel="1" x14ac:dyDescent="0.35">
      <c r="C135" s="218"/>
      <c r="D135" s="660" t="str">
        <f>IF(C135 = "", "",
IF(COUNTIF($C$128:C134, C135), "VALEUR NON CONFORME",
IF(AND(COUNTIF('Informations générales'!$C$108:$C$132, C135),
       INDEX('Informations générales'!$D$108:$D$132, MATCH(C135, 'Informations générales'!$C$108:$C$132, 0)) = ""),
   "VALUE INCONSISTENCY",
IFERROR(VLOOKUP(C135, ListOfSitesTable, 5, FALSE), "") &amp; " " &amp;
IFERROR(VLOOKUP(C135, ListOfSitesTable, 4, FALSE), "") &amp; " " &amp;
IFERROR(VLOOKUP(C135, ListOfSitesTable, 2, FALSE), ""))))</f>
        <v/>
      </c>
      <c r="E135" s="661"/>
      <c r="F135" s="662"/>
      <c r="G135" s="798"/>
      <c r="H135" s="799"/>
      <c r="I135" s="800"/>
      <c r="J135" s="231" t="b">
        <v>0</v>
      </c>
      <c r="K135" s="64" t="b">
        <v>0</v>
      </c>
      <c r="L135" s="16" t="str">
        <f t="shared" si="2"/>
        <v/>
      </c>
      <c r="M135" s="8"/>
      <c r="N135" s="8"/>
      <c r="O135" s="8"/>
      <c r="P135" s="8"/>
      <c r="Q135" s="8"/>
    </row>
    <row r="136" spans="3:17" hidden="1" outlineLevel="1" x14ac:dyDescent="0.35">
      <c r="C136" s="218"/>
      <c r="D136" s="660" t="str">
        <f>IF(C136 = "", "",
IF(COUNTIF($C$128:C135, C136), "VALEUR NON CONFORME",
IF(AND(COUNTIF('Informations générales'!$C$108:$C$132, C136),
       INDEX('Informations générales'!$D$108:$D$132, MATCH(C136, 'Informations générales'!$C$108:$C$132, 0)) = ""),
   "VALUE INCONSISTENCY",
IFERROR(VLOOKUP(C136, ListOfSitesTable, 5, FALSE), "") &amp; " " &amp;
IFERROR(VLOOKUP(C136, ListOfSitesTable, 4, FALSE), "") &amp; " " &amp;
IFERROR(VLOOKUP(C136, ListOfSitesTable, 2, FALSE), ""))))</f>
        <v/>
      </c>
      <c r="E136" s="661"/>
      <c r="F136" s="662"/>
      <c r="G136" s="798"/>
      <c r="H136" s="799"/>
      <c r="I136" s="800"/>
      <c r="J136" s="231" t="b">
        <v>0</v>
      </c>
      <c r="K136" s="64" t="b">
        <v>0</v>
      </c>
      <c r="L136" s="16" t="str">
        <f t="shared" si="2"/>
        <v/>
      </c>
      <c r="M136" s="8"/>
      <c r="N136" s="8"/>
      <c r="O136" s="8"/>
      <c r="P136" s="8"/>
      <c r="Q136" s="8"/>
    </row>
    <row r="137" spans="3:17" hidden="1" outlineLevel="1" x14ac:dyDescent="0.35">
      <c r="C137" s="218"/>
      <c r="D137" s="660" t="str">
        <f>IF(C137 = "", "",
IF(COUNTIF($C$128:C136, C137), "VALEUR NON CONFORME",
IF(AND(COUNTIF('Informations générales'!$C$108:$C$132, C137),
       INDEX('Informations générales'!$D$108:$D$132, MATCH(C137, 'Informations générales'!$C$108:$C$132, 0)) = ""),
   "VALUE INCONSISTENCY",
IFERROR(VLOOKUP(C137, ListOfSitesTable, 5, FALSE), "") &amp; " " &amp;
IFERROR(VLOOKUP(C137, ListOfSitesTable, 4, FALSE), "") &amp; " " &amp;
IFERROR(VLOOKUP(C137, ListOfSitesTable, 2, FALSE), ""))))</f>
        <v/>
      </c>
      <c r="E137" s="661"/>
      <c r="F137" s="662"/>
      <c r="G137" s="798"/>
      <c r="H137" s="799"/>
      <c r="I137" s="800"/>
      <c r="J137" s="231" t="b">
        <v>0</v>
      </c>
      <c r="K137" s="64" t="b">
        <v>0</v>
      </c>
      <c r="L137" s="16" t="str">
        <f t="shared" si="2"/>
        <v/>
      </c>
      <c r="M137" s="8"/>
      <c r="N137" s="8"/>
      <c r="O137" s="8"/>
      <c r="P137" s="8"/>
      <c r="Q137" s="8"/>
    </row>
    <row r="138" spans="3:17" hidden="1" outlineLevel="1" x14ac:dyDescent="0.35">
      <c r="C138" s="218"/>
      <c r="D138" s="660" t="str">
        <f>IF(C138 = "", "",
IF(COUNTIF($C$128:C137, C138), "VALEUR NON CONFORME",
IF(AND(COUNTIF('Informations générales'!$C$108:$C$132, C138),
       INDEX('Informations générales'!$D$108:$D$132, MATCH(C138, 'Informations générales'!$C$108:$C$132, 0)) = ""),
   "VALUE INCONSISTENCY",
IFERROR(VLOOKUP(C138, ListOfSitesTable, 5, FALSE), "") &amp; " " &amp;
IFERROR(VLOOKUP(C138, ListOfSitesTable, 4, FALSE), "") &amp; " " &amp;
IFERROR(VLOOKUP(C138, ListOfSitesTable, 2, FALSE), ""))))</f>
        <v/>
      </c>
      <c r="E138" s="661"/>
      <c r="F138" s="662"/>
      <c r="G138" s="798"/>
      <c r="H138" s="799"/>
      <c r="I138" s="800"/>
      <c r="J138" s="231" t="b">
        <v>0</v>
      </c>
      <c r="K138" s="64" t="b">
        <v>0</v>
      </c>
      <c r="L138" s="16" t="str">
        <f t="shared" si="2"/>
        <v/>
      </c>
      <c r="M138" s="8"/>
      <c r="N138" s="8"/>
      <c r="O138" s="8"/>
      <c r="P138" s="8"/>
      <c r="Q138" s="8"/>
    </row>
    <row r="139" spans="3:17" hidden="1" outlineLevel="1" x14ac:dyDescent="0.35">
      <c r="C139" s="218"/>
      <c r="D139" s="660" t="str">
        <f>IF(C139 = "", "",
IF(COUNTIF($C$128:C138, C139), "VALEUR NON CONFORME",
IF(AND(COUNTIF('Informations générales'!$C$108:$C$132, C139),
       INDEX('Informations générales'!$D$108:$D$132, MATCH(C139, 'Informations générales'!$C$108:$C$132, 0)) = ""),
   "VALUE INCONSISTENCY",
IFERROR(VLOOKUP(C139, ListOfSitesTable, 5, FALSE), "") &amp; " " &amp;
IFERROR(VLOOKUP(C139, ListOfSitesTable, 4, FALSE), "") &amp; " " &amp;
IFERROR(VLOOKUP(C139, ListOfSitesTable, 2, FALSE), ""))))</f>
        <v/>
      </c>
      <c r="E139" s="661"/>
      <c r="F139" s="662"/>
      <c r="G139" s="798"/>
      <c r="H139" s="799"/>
      <c r="I139" s="800"/>
      <c r="J139" s="231" t="b">
        <v>0</v>
      </c>
      <c r="K139" s="64" t="b">
        <v>0</v>
      </c>
      <c r="L139" s="16" t="str">
        <f t="shared" si="2"/>
        <v/>
      </c>
      <c r="M139" s="8"/>
      <c r="N139" s="8"/>
      <c r="O139" s="8"/>
      <c r="P139" s="8"/>
      <c r="Q139" s="8"/>
    </row>
    <row r="140" spans="3:17" hidden="1" outlineLevel="1" x14ac:dyDescent="0.35">
      <c r="C140" s="218"/>
      <c r="D140" s="660" t="str">
        <f>IF(C140 = "", "",
IF(COUNTIF($C$128:C139, C140), "VALEUR NON CONFORME",
IF(AND(COUNTIF('Informations générales'!$C$108:$C$132, C140),
       INDEX('Informations générales'!$D$108:$D$132, MATCH(C140, 'Informations générales'!$C$108:$C$132, 0)) = ""),
   "VALUE INCONSISTENCY",
IFERROR(VLOOKUP(C140, ListOfSitesTable, 5, FALSE), "") &amp; " " &amp;
IFERROR(VLOOKUP(C140, ListOfSitesTable, 4, FALSE), "") &amp; " " &amp;
IFERROR(VLOOKUP(C140, ListOfSitesTable, 2, FALSE), ""))))</f>
        <v/>
      </c>
      <c r="E140" s="661"/>
      <c r="F140" s="662"/>
      <c r="G140" s="798"/>
      <c r="H140" s="799"/>
      <c r="I140" s="800"/>
      <c r="J140" s="231" t="b">
        <v>0</v>
      </c>
      <c r="K140" s="64" t="b">
        <v>0</v>
      </c>
      <c r="L140" s="16" t="str">
        <f t="shared" si="2"/>
        <v/>
      </c>
      <c r="M140" s="8"/>
      <c r="N140" s="8"/>
      <c r="O140" s="8"/>
      <c r="P140" s="8"/>
      <c r="Q140" s="8"/>
    </row>
    <row r="141" spans="3:17" hidden="1" outlineLevel="1" x14ac:dyDescent="0.35">
      <c r="C141" s="218"/>
      <c r="D141" s="660" t="str">
        <f>IF(C141 = "", "",
IF(COUNTIF($C$128:C140, C141), "VALEUR NON CONFORME",
IF(AND(COUNTIF('Informations générales'!$C$108:$C$132, C141),
       INDEX('Informations générales'!$D$108:$D$132, MATCH(C141, 'Informations générales'!$C$108:$C$132, 0)) = ""),
   "VALUE INCONSISTENCY",
IFERROR(VLOOKUP(C141, ListOfSitesTable, 5, FALSE), "") &amp; " " &amp;
IFERROR(VLOOKUP(C141, ListOfSitesTable, 4, FALSE), "") &amp; " " &amp;
IFERROR(VLOOKUP(C141, ListOfSitesTable, 2, FALSE), ""))))</f>
        <v/>
      </c>
      <c r="E141" s="661"/>
      <c r="F141" s="662"/>
      <c r="G141" s="798"/>
      <c r="H141" s="799"/>
      <c r="I141" s="800"/>
      <c r="J141" s="231" t="b">
        <v>0</v>
      </c>
      <c r="K141" s="64" t="b">
        <v>0</v>
      </c>
      <c r="L141" s="16" t="str">
        <f t="shared" si="2"/>
        <v/>
      </c>
      <c r="M141" s="8"/>
      <c r="N141" s="8"/>
      <c r="O141" s="8"/>
      <c r="P141" s="8"/>
      <c r="Q141" s="8"/>
    </row>
    <row r="142" spans="3:17" hidden="1" outlineLevel="1" x14ac:dyDescent="0.35">
      <c r="C142" s="218"/>
      <c r="D142" s="660" t="str">
        <f>IF(C142 = "", "",
IF(COUNTIF($C$128:C141, C142), "VALEUR NON CONFORME",
IF(AND(COUNTIF('Informations générales'!$C$108:$C$132, C142),
       INDEX('Informations générales'!$D$108:$D$132, MATCH(C142, 'Informations générales'!$C$108:$C$132, 0)) = ""),
   "VALUE INCONSISTENCY",
IFERROR(VLOOKUP(C142, ListOfSitesTable, 5, FALSE), "") &amp; " " &amp;
IFERROR(VLOOKUP(C142, ListOfSitesTable, 4, FALSE), "") &amp; " " &amp;
IFERROR(VLOOKUP(C142, ListOfSitesTable, 2, FALSE), ""))))</f>
        <v/>
      </c>
      <c r="E142" s="661"/>
      <c r="F142" s="662"/>
      <c r="G142" s="798"/>
      <c r="H142" s="799"/>
      <c r="I142" s="800"/>
      <c r="J142" s="231" t="b">
        <v>0</v>
      </c>
      <c r="K142" s="64" t="b">
        <v>0</v>
      </c>
      <c r="L142" s="16" t="str">
        <f t="shared" si="2"/>
        <v/>
      </c>
      <c r="M142" s="8"/>
      <c r="N142" s="8"/>
      <c r="O142" s="8"/>
      <c r="P142" s="8"/>
      <c r="Q142" s="8"/>
    </row>
    <row r="143" spans="3:17" hidden="1" outlineLevel="1" x14ac:dyDescent="0.35">
      <c r="C143" s="218"/>
      <c r="D143" s="660" t="str">
        <f>IF(C143 = "", "",
IF(COUNTIF($C$128:C142, C143), "VALEUR NON CONFORME",
IF(AND(COUNTIF('Informations générales'!$C$108:$C$132, C143),
       INDEX('Informations générales'!$D$108:$D$132, MATCH(C143, 'Informations générales'!$C$108:$C$132, 0)) = ""),
   "VALUE INCONSISTENCY",
IFERROR(VLOOKUP(C143, ListOfSitesTable, 5, FALSE), "") &amp; " " &amp;
IFERROR(VLOOKUP(C143, ListOfSitesTable, 4, FALSE), "") &amp; " " &amp;
IFERROR(VLOOKUP(C143, ListOfSitesTable, 2, FALSE), ""))))</f>
        <v/>
      </c>
      <c r="E143" s="661"/>
      <c r="F143" s="662"/>
      <c r="G143" s="798"/>
      <c r="H143" s="799"/>
      <c r="I143" s="800"/>
      <c r="J143" s="231" t="b">
        <v>0</v>
      </c>
      <c r="K143" s="64" t="b">
        <v>0</v>
      </c>
      <c r="L143" s="16" t="str">
        <f t="shared" si="2"/>
        <v/>
      </c>
      <c r="M143" s="8"/>
      <c r="N143" s="8"/>
      <c r="O143" s="8"/>
      <c r="P143" s="8"/>
      <c r="Q143" s="8"/>
    </row>
    <row r="144" spans="3:17" hidden="1" outlineLevel="1" x14ac:dyDescent="0.35">
      <c r="C144" s="218"/>
      <c r="D144" s="660" t="str">
        <f>IF(C144 = "", "",
IF(COUNTIF($C$128:C143, C144), "VALEUR NON CONFORME",
IF(AND(COUNTIF('Informations générales'!$C$108:$C$132, C144),
       INDEX('Informations générales'!$D$108:$D$132, MATCH(C144, 'Informations générales'!$C$108:$C$132, 0)) = ""),
   "VALUE INCONSISTENCY",
IFERROR(VLOOKUP(C144, ListOfSitesTable, 5, FALSE), "") &amp; " " &amp;
IFERROR(VLOOKUP(C144, ListOfSitesTable, 4, FALSE), "") &amp; " " &amp;
IFERROR(VLOOKUP(C144, ListOfSitesTable, 2, FALSE), ""))))</f>
        <v/>
      </c>
      <c r="E144" s="661"/>
      <c r="F144" s="662"/>
      <c r="G144" s="798"/>
      <c r="H144" s="799"/>
      <c r="I144" s="800"/>
      <c r="J144" s="231" t="b">
        <v>0</v>
      </c>
      <c r="K144" s="64" t="b">
        <v>0</v>
      </c>
      <c r="L144" s="16" t="str">
        <f t="shared" si="2"/>
        <v/>
      </c>
      <c r="M144" s="8"/>
      <c r="N144" s="8"/>
      <c r="O144" s="8"/>
      <c r="P144" s="8"/>
      <c r="Q144" s="8"/>
    </row>
    <row r="145" spans="3:17" hidden="1" outlineLevel="1" x14ac:dyDescent="0.35">
      <c r="C145" s="218"/>
      <c r="D145" s="660" t="str">
        <f>IF(C145 = "", "",
IF(COUNTIF($C$128:C144, C145), "VALEUR NON CONFORME",
IF(AND(COUNTIF('Informations générales'!$C$108:$C$132, C145),
       INDEX('Informations générales'!$D$108:$D$132, MATCH(C145, 'Informations générales'!$C$108:$C$132, 0)) = ""),
   "VALUE INCONSISTENCY",
IFERROR(VLOOKUP(C145, ListOfSitesTable, 5, FALSE), "") &amp; " " &amp;
IFERROR(VLOOKUP(C145, ListOfSitesTable, 4, FALSE), "") &amp; " " &amp;
IFERROR(VLOOKUP(C145, ListOfSitesTable, 2, FALSE), ""))))</f>
        <v/>
      </c>
      <c r="E145" s="661"/>
      <c r="F145" s="662"/>
      <c r="G145" s="798"/>
      <c r="H145" s="799"/>
      <c r="I145" s="800"/>
      <c r="J145" s="231" t="b">
        <v>0</v>
      </c>
      <c r="K145" s="64" t="b">
        <v>0</v>
      </c>
      <c r="L145" s="16" t="str">
        <f t="shared" si="2"/>
        <v/>
      </c>
      <c r="M145" s="8"/>
      <c r="N145" s="8"/>
      <c r="O145" s="8"/>
      <c r="P145" s="8"/>
      <c r="Q145" s="8"/>
    </row>
    <row r="146" spans="3:17" hidden="1" outlineLevel="1" x14ac:dyDescent="0.35">
      <c r="C146" s="218"/>
      <c r="D146" s="660" t="str">
        <f>IF(C146 = "", "",
IF(COUNTIF($C$128:C145, C146), "VALEUR NON CONFORME",
IF(AND(COUNTIF('Informations générales'!$C$108:$C$132, C146),
       INDEX('Informations générales'!$D$108:$D$132, MATCH(C146, 'Informations générales'!$C$108:$C$132, 0)) = ""),
   "VALUE INCONSISTENCY",
IFERROR(VLOOKUP(C146, ListOfSitesTable, 5, FALSE), "") &amp; " " &amp;
IFERROR(VLOOKUP(C146, ListOfSitesTable, 4, FALSE), "") &amp; " " &amp;
IFERROR(VLOOKUP(C146, ListOfSitesTable, 2, FALSE), ""))))</f>
        <v/>
      </c>
      <c r="E146" s="661"/>
      <c r="F146" s="662"/>
      <c r="G146" s="798"/>
      <c r="H146" s="799"/>
      <c r="I146" s="800"/>
      <c r="J146" s="231" t="b">
        <v>0</v>
      </c>
      <c r="K146" s="64" t="b">
        <v>0</v>
      </c>
      <c r="L146" s="16" t="str">
        <f t="shared" si="2"/>
        <v/>
      </c>
      <c r="M146" s="8"/>
      <c r="N146" s="8"/>
      <c r="O146" s="8"/>
      <c r="P146" s="8"/>
      <c r="Q146" s="8"/>
    </row>
    <row r="147" spans="3:17" hidden="1" outlineLevel="1" x14ac:dyDescent="0.35">
      <c r="C147" s="218"/>
      <c r="D147" s="660" t="str">
        <f>IF(C147 = "", "",
IF(COUNTIF($C$128:C146, C147), "VALEUR NON CONFORME",
IF(AND(COUNTIF('Informations générales'!$C$108:$C$132, C147),
       INDEX('Informations générales'!$D$108:$D$132, MATCH(C147, 'Informations générales'!$C$108:$C$132, 0)) = ""),
   "VALUE INCONSISTENCY",
IFERROR(VLOOKUP(C147, ListOfSitesTable, 5, FALSE), "") &amp; " " &amp;
IFERROR(VLOOKUP(C147, ListOfSitesTable, 4, FALSE), "") &amp; " " &amp;
IFERROR(VLOOKUP(C147, ListOfSitesTable, 2, FALSE), ""))))</f>
        <v/>
      </c>
      <c r="E147" s="661"/>
      <c r="F147" s="662"/>
      <c r="G147" s="798"/>
      <c r="H147" s="799"/>
      <c r="I147" s="800"/>
      <c r="J147" s="231" t="b">
        <v>0</v>
      </c>
      <c r="K147" s="64" t="b">
        <v>0</v>
      </c>
      <c r="L147" s="16" t="str">
        <f t="shared" si="2"/>
        <v/>
      </c>
      <c r="M147" s="8"/>
      <c r="N147" s="8"/>
      <c r="O147" s="8"/>
      <c r="P147" s="8"/>
      <c r="Q147" s="8"/>
    </row>
    <row r="148" spans="3:17" hidden="1" outlineLevel="1" x14ac:dyDescent="0.35">
      <c r="C148" s="218"/>
      <c r="D148" s="660" t="str">
        <f>IF(C148 = "", "",
IF(COUNTIF($C$128:C147, C148), "VALEUR NON CONFORME",
IF(AND(COUNTIF('Informations générales'!$C$108:$C$132, C148),
       INDEX('Informations générales'!$D$108:$D$132, MATCH(C148, 'Informations générales'!$C$108:$C$132, 0)) = ""),
   "VALUE INCONSISTENCY",
IFERROR(VLOOKUP(C148, ListOfSitesTable, 5, FALSE), "") &amp; " " &amp;
IFERROR(VLOOKUP(C148, ListOfSitesTable, 4, FALSE), "") &amp; " " &amp;
IFERROR(VLOOKUP(C148, ListOfSitesTable, 2, FALSE), ""))))</f>
        <v/>
      </c>
      <c r="E148" s="661"/>
      <c r="F148" s="662"/>
      <c r="G148" s="798"/>
      <c r="H148" s="799"/>
      <c r="I148" s="800"/>
      <c r="J148" s="231" t="b">
        <v>0</v>
      </c>
      <c r="K148" s="64" t="b">
        <v>0</v>
      </c>
      <c r="L148" s="16" t="str">
        <f t="shared" si="2"/>
        <v/>
      </c>
      <c r="M148" s="8"/>
      <c r="N148" s="8"/>
      <c r="O148" s="8"/>
      <c r="P148" s="8"/>
      <c r="Q148" s="8"/>
    </row>
    <row r="149" spans="3:17" hidden="1" outlineLevel="1" x14ac:dyDescent="0.35">
      <c r="C149" s="218"/>
      <c r="D149" s="660" t="str">
        <f>IF(C149 = "", "",
IF(COUNTIF($C$128:C148, C149), "VALEUR NON CONFORME",
IF(AND(COUNTIF('Informations générales'!$C$108:$C$132, C149),
       INDEX('Informations générales'!$D$108:$D$132, MATCH(C149, 'Informations générales'!$C$108:$C$132, 0)) = ""),
   "VALUE INCONSISTENCY",
IFERROR(VLOOKUP(C149, ListOfSitesTable, 5, FALSE), "") &amp; " " &amp;
IFERROR(VLOOKUP(C149, ListOfSitesTable, 4, FALSE), "") &amp; " " &amp;
IFERROR(VLOOKUP(C149, ListOfSitesTable, 2, FALSE), ""))))</f>
        <v/>
      </c>
      <c r="E149" s="661"/>
      <c r="F149" s="662"/>
      <c r="G149" s="798"/>
      <c r="H149" s="799"/>
      <c r="I149" s="800"/>
      <c r="J149" s="231" t="b">
        <v>0</v>
      </c>
      <c r="K149" s="64" t="b">
        <v>0</v>
      </c>
      <c r="L149" s="16" t="str">
        <f t="shared" si="2"/>
        <v/>
      </c>
      <c r="M149" s="8"/>
      <c r="N149" s="8"/>
      <c r="O149" s="8"/>
      <c r="P149" s="8"/>
      <c r="Q149" s="8"/>
    </row>
    <row r="150" spans="3:17" hidden="1" outlineLevel="1" x14ac:dyDescent="0.35">
      <c r="C150" s="218"/>
      <c r="D150" s="660" t="str">
        <f>IF(C150 = "", "",
IF(COUNTIF($C$128:C149, C150), "VALEUR NON CONFORME",
IF(AND(COUNTIF('Informations générales'!$C$108:$C$132, C150),
       INDEX('Informations générales'!$D$108:$D$132, MATCH(C150, 'Informations générales'!$C$108:$C$132, 0)) = ""),
   "VALUE INCONSISTENCY",
IFERROR(VLOOKUP(C150, ListOfSitesTable, 5, FALSE), "") &amp; " " &amp;
IFERROR(VLOOKUP(C150, ListOfSitesTable, 4, FALSE), "") &amp; " " &amp;
IFERROR(VLOOKUP(C150, ListOfSitesTable, 2, FALSE), ""))))</f>
        <v/>
      </c>
      <c r="E150" s="661"/>
      <c r="F150" s="662"/>
      <c r="G150" s="798"/>
      <c r="H150" s="799"/>
      <c r="I150" s="800"/>
      <c r="J150" s="231" t="b">
        <v>0</v>
      </c>
      <c r="K150" s="64" t="b">
        <v>0</v>
      </c>
      <c r="L150" s="16" t="str">
        <f t="shared" si="2"/>
        <v/>
      </c>
      <c r="M150" s="8"/>
      <c r="N150" s="8"/>
      <c r="O150" s="8"/>
      <c r="P150" s="8"/>
      <c r="Q150" s="8"/>
    </row>
    <row r="151" spans="3:17" hidden="1" outlineLevel="1" x14ac:dyDescent="0.35">
      <c r="C151" s="218"/>
      <c r="D151" s="660" t="str">
        <f>IF(C151 = "", "",
IF(COUNTIF($C$128:C150, C151), "VALEUR NON CONFORME",
IF(AND(COUNTIF('Informations générales'!$C$108:$C$132, C151),
       INDEX('Informations générales'!$D$108:$D$132, MATCH(C151, 'Informations générales'!$C$108:$C$132, 0)) = ""),
   "VALUE INCONSISTENCY",
IFERROR(VLOOKUP(C151, ListOfSitesTable, 5, FALSE), "") &amp; " " &amp;
IFERROR(VLOOKUP(C151, ListOfSitesTable, 4, FALSE), "") &amp; " " &amp;
IFERROR(VLOOKUP(C151, ListOfSitesTable, 2, FALSE), ""))))</f>
        <v/>
      </c>
      <c r="E151" s="661"/>
      <c r="F151" s="662"/>
      <c r="G151" s="798"/>
      <c r="H151" s="799"/>
      <c r="I151" s="800"/>
      <c r="J151" s="231" t="b">
        <v>0</v>
      </c>
      <c r="K151" s="64" t="b">
        <v>0</v>
      </c>
      <c r="L151" s="16" t="str">
        <f t="shared" si="2"/>
        <v/>
      </c>
      <c r="M151" s="8"/>
      <c r="N151" s="8"/>
      <c r="O151" s="8"/>
      <c r="P151" s="8"/>
      <c r="Q151" s="8"/>
    </row>
    <row r="152" spans="3:17" hidden="1" outlineLevel="1" x14ac:dyDescent="0.35">
      <c r="C152" s="218"/>
      <c r="D152" s="660" t="str">
        <f>IF(C152 = "", "",
IF(COUNTIF($C$128:C151, C152), "VALEUR NON CONFORME",
IF(AND(COUNTIF('Informations générales'!$C$108:$C$132, C152),
       INDEX('Informations générales'!$D$108:$D$132, MATCH(C152, 'Informations générales'!$C$108:$C$132, 0)) = ""),
   "VALUE INCONSISTENCY",
IFERROR(VLOOKUP(C152, ListOfSitesTable, 5, FALSE), "") &amp; " " &amp;
IFERROR(VLOOKUP(C152, ListOfSitesTable, 4, FALSE), "") &amp; " " &amp;
IFERROR(VLOOKUP(C152, ListOfSitesTable, 2, FALSE), ""))))</f>
        <v/>
      </c>
      <c r="E152" s="661"/>
      <c r="F152" s="662"/>
      <c r="G152" s="904"/>
      <c r="H152" s="799"/>
      <c r="I152" s="800"/>
      <c r="J152" s="231" t="b">
        <v>0</v>
      </c>
      <c r="K152" s="64" t="b">
        <v>0</v>
      </c>
      <c r="L152" s="16" t="str">
        <f t="shared" si="2"/>
        <v/>
      </c>
      <c r="M152" s="8"/>
      <c r="N152" s="8"/>
      <c r="O152" s="8"/>
      <c r="P152" s="8"/>
      <c r="Q152" s="8"/>
    </row>
    <row r="153" spans="3:17" ht="15" hidden="1" outlineLevel="1" thickBot="1" x14ac:dyDescent="0.4">
      <c r="C153" s="220"/>
      <c r="D153" s="660" t="str">
        <f>IF(C153 = "", "",
IF(COUNTIF($C$128:C152, C153), "VALEUR NON CONFORME",
IF(AND(COUNTIF('Informations générales'!$C$108:$C$132, C153),
       INDEX('Informations générales'!$D$108:$D$132, MATCH(C153, 'Informations générales'!$C$108:$C$132, 0)) = ""),
   "VALUE INCONSISTENCY",
IFERROR(VLOOKUP(C153, ListOfSitesTable, 5, FALSE), "") &amp; " " &amp;
IFERROR(VLOOKUP(C153, ListOfSitesTable, 4, FALSE), "") &amp; " " &amp;
IFERROR(VLOOKUP(C153, ListOfSitesTable, 2, FALSE), ""))))</f>
        <v/>
      </c>
      <c r="E153" s="661"/>
      <c r="F153" s="662"/>
      <c r="G153" s="728"/>
      <c r="H153" s="729"/>
      <c r="I153" s="730"/>
      <c r="J153" s="232" t="b">
        <v>0</v>
      </c>
      <c r="K153" s="60" t="b">
        <v>0</v>
      </c>
      <c r="L153" s="16" t="str">
        <f t="shared" si="2"/>
        <v/>
      </c>
      <c r="M153" s="8"/>
      <c r="N153" s="8"/>
      <c r="O153" s="8"/>
      <c r="P153" s="8"/>
      <c r="Q153" s="8"/>
    </row>
    <row r="154" spans="3:17" ht="15" collapsed="1" thickBot="1" x14ac:dyDescent="0.4">
      <c r="D154" s="12"/>
      <c r="E154" s="12"/>
      <c r="F154" s="12"/>
      <c r="H154" s="12"/>
      <c r="I154" s="12"/>
      <c r="J154" s="12"/>
    </row>
    <row r="155" spans="3:17" x14ac:dyDescent="0.35">
      <c r="C155" s="543" t="str">
        <f>"B5 - Biodiversité - Affectation des terres " &amp; template_reporting_period_display &amp; "  [facultatif] "</f>
        <v xml:space="preserve">B5 - Biodiversité - Affectation des terres du - au -  [facultatif] </v>
      </c>
      <c r="D155" s="544"/>
      <c r="E155" s="544"/>
      <c r="F155" s="545"/>
    </row>
    <row r="156" spans="3:17" x14ac:dyDescent="0.35">
      <c r="C156" s="499">
        <v>34</v>
      </c>
      <c r="D156" s="500"/>
      <c r="E156" s="500"/>
      <c r="F156" s="501"/>
    </row>
    <row r="157" spans="3:17" x14ac:dyDescent="0.35">
      <c r="C157" s="612" t="s">
        <v>3934</v>
      </c>
      <c r="D157" s="613"/>
      <c r="E157" s="613"/>
      <c r="F157" s="614"/>
    </row>
    <row r="158" spans="3:17" ht="16.899999999999999" customHeight="1" x14ac:dyDescent="0.35">
      <c r="C158" s="792" t="s">
        <v>4824</v>
      </c>
      <c r="D158" s="793"/>
      <c r="E158" s="793"/>
      <c r="F158" s="794"/>
    </row>
    <row r="159" spans="3:17" x14ac:dyDescent="0.35">
      <c r="C159" s="795"/>
      <c r="D159" s="796"/>
      <c r="E159" s="796"/>
      <c r="F159" s="797"/>
      <c r="G159" s="15" t="str">
        <f>IF(C159&lt;&gt;"","OK",IF(AND(OR(D161&lt;&gt;"",D162&lt;&gt;"",D163&lt;&gt;"",D164&lt;&gt;""),C159=""),"MISSING VALUE",""))</f>
        <v/>
      </c>
      <c r="H159" s="121"/>
      <c r="K159" s="15"/>
    </row>
    <row r="160" spans="3:17" x14ac:dyDescent="0.35">
      <c r="C160" s="122" t="s">
        <v>4139</v>
      </c>
      <c r="D160" s="793" t="s">
        <v>4772</v>
      </c>
      <c r="E160" s="793"/>
      <c r="F160" s="794"/>
      <c r="G160" s="15"/>
      <c r="H160" s="121"/>
      <c r="K160" s="15"/>
    </row>
    <row r="161" spans="2:12" x14ac:dyDescent="0.35">
      <c r="C161" s="123" t="s">
        <v>4140</v>
      </c>
      <c r="D161" s="900"/>
      <c r="E161" s="900"/>
      <c r="F161" s="901"/>
      <c r="G161" s="638" t="str">
        <f>IF(AND(G159="OK",COUNTIF(D161:F164,"&lt;&gt;")&gt;0),
"OK",
IF(AND(G159="OK",COUNTA(D161:F164)=0),
"MISSING VALUE",IF(AND(G159="MISSING VALUE",COUNTIF(D161:F164,"&lt;&gt;")&gt;0),"VALUE INCONSISTENCY",
""
)
))</f>
        <v/>
      </c>
      <c r="H161" s="124"/>
      <c r="K161" s="15"/>
    </row>
    <row r="162" spans="2:12" x14ac:dyDescent="0.35">
      <c r="C162" s="125" t="s">
        <v>4141</v>
      </c>
      <c r="D162" s="894"/>
      <c r="E162" s="895"/>
      <c r="F162" s="896"/>
      <c r="G162" s="638"/>
      <c r="H162" s="124"/>
      <c r="K162" s="15"/>
    </row>
    <row r="163" spans="2:12" x14ac:dyDescent="0.35">
      <c r="C163" s="125" t="s">
        <v>4142</v>
      </c>
      <c r="D163" s="894"/>
      <c r="E163" s="895"/>
      <c r="F163" s="896"/>
      <c r="G163" s="638"/>
      <c r="H163" s="124"/>
      <c r="K163" s="15"/>
    </row>
    <row r="164" spans="2:12" ht="15" thickBot="1" x14ac:dyDescent="0.4">
      <c r="B164" s="240"/>
      <c r="C164" s="403" t="s">
        <v>4825</v>
      </c>
      <c r="D164" s="897"/>
      <c r="E164" s="898"/>
      <c r="F164" s="899"/>
      <c r="G164" s="638"/>
      <c r="H164" s="124"/>
      <c r="K164" s="15"/>
    </row>
    <row r="165" spans="2:12" ht="15" thickBot="1" x14ac:dyDescent="0.4"/>
    <row r="166" spans="2:12" x14ac:dyDescent="0.35">
      <c r="C166" s="543" t="str">
        <f>"B6 - Prélèvements d'eau " &amp; template_reporting_period_display &amp; " [obligatoire] "</f>
        <v xml:space="preserve">B6 - Prélèvements d'eau du - au - [obligatoire] </v>
      </c>
      <c r="D166" s="718"/>
      <c r="E166" s="13"/>
      <c r="F166" s="13"/>
      <c r="G166" s="15"/>
      <c r="H166" s="15"/>
      <c r="I166" s="15"/>
      <c r="K166" s="15"/>
    </row>
    <row r="167" spans="2:12" x14ac:dyDescent="0.35">
      <c r="C167" s="499">
        <v>35</v>
      </c>
      <c r="D167" s="768"/>
      <c r="E167" s="126"/>
      <c r="F167" s="126"/>
      <c r="G167" s="15"/>
      <c r="H167" s="15"/>
      <c r="I167" s="15"/>
    </row>
    <row r="168" spans="2:12" x14ac:dyDescent="0.35">
      <c r="C168" s="612" t="s">
        <v>3935</v>
      </c>
      <c r="D168" s="769"/>
      <c r="E168" s="127"/>
      <c r="F168" s="127"/>
      <c r="G168" s="15"/>
      <c r="H168" s="15"/>
      <c r="I168" s="15"/>
      <c r="K168" s="31"/>
      <c r="L168" s="31"/>
    </row>
    <row r="169" spans="2:12" x14ac:dyDescent="0.35">
      <c r="C169" s="98" t="s">
        <v>4143</v>
      </c>
      <c r="D169" s="281"/>
      <c r="E169" s="720" t="str">
        <f>IF(AND(OR('Informations générales'!E32="Option A (Basic Module only)", 'Informations générales'!E32="Option B (Basic Module and Comprehensive Module)"),TotalAmountOfWaterWithdrawnFromAllSites=""),"MISSING VALUE",IF('Informations générales'!E32="","","OK"))</f>
        <v/>
      </c>
      <c r="F169" s="721"/>
      <c r="G169" s="15"/>
      <c r="H169" s="15"/>
      <c r="I169" s="15"/>
    </row>
    <row r="170" spans="2:12" ht="29.5" thickBot="1" x14ac:dyDescent="0.4">
      <c r="C170" s="128" t="s">
        <v>4826</v>
      </c>
      <c r="D170" s="282"/>
      <c r="E170" s="764" t="str">
        <f>IF(AND(OR('Informations générales'!E32="Option A (Basic Module only)", 'Informations générales'!E32="Option B (Basic Module and Comprehensive Module)"),AmountOfWaterWithdrawnAtSitesLocatedInAreasOfHighWaterStress=""),"MISSING VALUE",IF('Informations générales'!E32="","","OK"))</f>
        <v/>
      </c>
      <c r="F170" s="719"/>
      <c r="G170" s="15"/>
      <c r="H170" s="15"/>
      <c r="I170" s="15"/>
    </row>
    <row r="171" spans="2:12" ht="15" thickBot="1" x14ac:dyDescent="0.4">
      <c r="K171" s="27"/>
    </row>
    <row r="172" spans="2:12" x14ac:dyDescent="0.35">
      <c r="C172" s="543" t="str">
        <f>" B6 - Consommation d'eau "  &amp; template_reporting_period_display &amp; " [si pertinent] "</f>
        <v xml:space="preserve"> B6 - Consommation d'eau du - au - [si pertinent] </v>
      </c>
      <c r="D172" s="718"/>
      <c r="E172" s="13"/>
      <c r="F172" s="13"/>
    </row>
    <row r="173" spans="2:12" x14ac:dyDescent="0.35">
      <c r="C173" s="686">
        <v>36</v>
      </c>
      <c r="D173" s="688"/>
      <c r="E173" s="126"/>
      <c r="F173" s="126"/>
    </row>
    <row r="174" spans="2:12" x14ac:dyDescent="0.35">
      <c r="C174" s="612" t="s">
        <v>3936</v>
      </c>
      <c r="D174" s="614"/>
      <c r="E174" s="127"/>
      <c r="F174" s="127"/>
    </row>
    <row r="175" spans="2:12" ht="50.65" customHeight="1" x14ac:dyDescent="0.35">
      <c r="C175" s="130" t="s">
        <v>4827</v>
      </c>
      <c r="D175" s="144" t="b">
        <v>0</v>
      </c>
      <c r="E175" s="129"/>
      <c r="F175" s="129"/>
      <c r="G175" s="15"/>
      <c r="H175" s="15"/>
      <c r="I175" s="15"/>
    </row>
    <row r="176" spans="2:12" ht="15" thickBot="1" x14ac:dyDescent="0.4">
      <c r="C176" s="128" t="s">
        <v>4144</v>
      </c>
      <c r="D176" s="299"/>
      <c r="E176" s="719" t="str">
        <f>IF(AND(D175=TRUE,D176=""),"MISSING VALUE",IF(AND(D175=TRUE,D176&lt;&gt;""),"OK",""))</f>
        <v/>
      </c>
      <c r="F176" s="719"/>
      <c r="G176" s="15"/>
      <c r="H176" s="15"/>
      <c r="I176" s="15"/>
    </row>
    <row r="177" spans="3:13" ht="21" customHeight="1" thickBot="1" x14ac:dyDescent="0.4">
      <c r="C177" s="131" t="s">
        <v>4145</v>
      </c>
      <c r="D177" s="300" t="str">
        <f>IF(D176&lt;&gt;"",$D$169-$D$176,"-")</f>
        <v>-</v>
      </c>
      <c r="E177" s="132"/>
      <c r="F177" s="132"/>
    </row>
    <row r="178" spans="3:13" ht="15" thickBot="1" x14ac:dyDescent="0.4"/>
    <row r="179" spans="3:13" x14ac:dyDescent="0.35">
      <c r="C179" s="683" t="str">
        <f>"B7 - Description des principes de l'économie circulaire " &amp; template_reporting_period_display &amp; "  [obligatoire] "</f>
        <v xml:space="preserve">B7 - Description des principes de l'économie circulaire du - au -  [obligatoire] </v>
      </c>
      <c r="D179" s="684"/>
      <c r="E179" s="765"/>
      <c r="F179" s="765"/>
      <c r="G179" s="685"/>
      <c r="H179" s="15"/>
      <c r="I179" s="15"/>
    </row>
    <row r="180" spans="3:13" x14ac:dyDescent="0.35">
      <c r="C180" s="686">
        <v>37</v>
      </c>
      <c r="D180" s="687"/>
      <c r="E180" s="766"/>
      <c r="F180" s="766"/>
      <c r="G180" s="688"/>
      <c r="H180" s="133"/>
      <c r="I180" s="133"/>
    </row>
    <row r="181" spans="3:13" x14ac:dyDescent="0.35">
      <c r="C181" s="711">
        <v>159</v>
      </c>
      <c r="D181" s="712"/>
      <c r="E181" s="556"/>
      <c r="F181" s="556"/>
      <c r="G181" s="767"/>
      <c r="H181" s="134"/>
      <c r="I181" s="134"/>
    </row>
    <row r="182" spans="3:13" x14ac:dyDescent="0.35">
      <c r="C182" s="96" t="s">
        <v>4146</v>
      </c>
      <c r="D182" s="722"/>
      <c r="E182" s="723"/>
      <c r="F182" s="723"/>
      <c r="G182" s="724"/>
      <c r="H182" s="890" t="str">
        <f>IF(AND(OR('Informations générales'!E32="Option A (Basic Module only)", 'Informations générales'!E32="Option B (Basic Module and Comprehensive Module)"),UndertakingAppliesCircularEconomyPrinciples=""),"MISSING VALUE",IF('Informations générales'!E32="","","OK"))</f>
        <v/>
      </c>
      <c r="I182" s="891"/>
      <c r="J182" s="15"/>
    </row>
    <row r="183" spans="3:13" ht="15" thickBot="1" x14ac:dyDescent="0.4">
      <c r="C183" s="115" t="s">
        <v>4147</v>
      </c>
      <c r="D183" s="530"/>
      <c r="E183" s="540"/>
      <c r="F183" s="540"/>
      <c r="G183" s="531"/>
      <c r="H183" s="890" t="str">
        <f>IF(AND(D182="YES",D183=""),"MISSING VALUE",IF(AND(D182="YES",D183&lt;&gt;""),"OK",IF(AND(D182="NO",D183&lt;&gt;""),"VALUE INCONSISTENCY","")))</f>
        <v/>
      </c>
      <c r="I183" s="891"/>
      <c r="J183" s="15"/>
    </row>
    <row r="184" spans="3:13" ht="15" thickBot="1" x14ac:dyDescent="0.4"/>
    <row r="185" spans="3:13" x14ac:dyDescent="0.35">
      <c r="C185" s="683" t="str">
        <f>"B7 - Déchets produits " &amp; template_reporting_period_display &amp; " [obligatoire] "</f>
        <v xml:space="preserve">B7 - Déchets produits du - au - [obligatoire] </v>
      </c>
      <c r="D185" s="684"/>
      <c r="E185" s="684"/>
      <c r="F185" s="684"/>
      <c r="G185" s="684"/>
      <c r="H185" s="684"/>
      <c r="I185" s="684"/>
      <c r="J185" s="684"/>
      <c r="K185" s="684"/>
      <c r="L185" s="685"/>
    </row>
    <row r="186" spans="3:13" x14ac:dyDescent="0.35">
      <c r="C186" s="686" t="s">
        <v>3902</v>
      </c>
      <c r="D186" s="687"/>
      <c r="E186" s="687"/>
      <c r="F186" s="687"/>
      <c r="G186" s="687"/>
      <c r="H186" s="687"/>
      <c r="I186" s="687"/>
      <c r="J186" s="687"/>
      <c r="K186" s="687"/>
      <c r="L186" s="688"/>
    </row>
    <row r="187" spans="3:13" x14ac:dyDescent="0.35">
      <c r="C187" s="711" t="s">
        <v>3937</v>
      </c>
      <c r="D187" s="712"/>
      <c r="E187" s="712"/>
      <c r="F187" s="712"/>
      <c r="G187" s="712"/>
      <c r="H187" s="712"/>
      <c r="I187" s="712"/>
      <c r="J187" s="712"/>
      <c r="K187" s="712"/>
      <c r="L187" s="767"/>
    </row>
    <row r="188" spans="3:13" ht="49.15" customHeight="1" x14ac:dyDescent="0.35">
      <c r="C188" s="135" t="s">
        <v>0</v>
      </c>
      <c r="D188" s="872" t="s">
        <v>4148</v>
      </c>
      <c r="E188" s="872"/>
      <c r="F188" s="872"/>
      <c r="G188" s="874" t="s">
        <v>4149</v>
      </c>
      <c r="H188" s="874"/>
      <c r="I188" s="874"/>
      <c r="J188" s="136" t="s">
        <v>4150</v>
      </c>
      <c r="K188" s="137" t="s">
        <v>4151</v>
      </c>
      <c r="L188" s="138" t="s">
        <v>4152</v>
      </c>
    </row>
    <row r="189" spans="3:13" x14ac:dyDescent="0.35">
      <c r="C189" s="139">
        <v>1</v>
      </c>
      <c r="D189" s="774"/>
      <c r="E189" s="774"/>
      <c r="F189" s="774"/>
      <c r="G189" s="869"/>
      <c r="H189" s="869"/>
      <c r="I189" s="869"/>
      <c r="J189" s="283"/>
      <c r="K189" s="284"/>
      <c r="L189" s="285" t="str">
        <f>IF(AND(D189="",J189="",K189=""),"-",SUM(J189:K189))</f>
        <v>-</v>
      </c>
      <c r="M189" s="15" t="str">
        <f>IF(OR('Informations générales'!E32 = "Option A (Basic Module only)", 'Informations générales'!E32 = "Option B (Basic Module and Comprehensive Module)"),
    IF(COUNTIF(enum_ListWasteCategories, D189) &gt; 0, "ERROR",
        IF(OR(D189 = "", G189 = "", J189 = "", K189 = ""), "MISSING VALUE",
            IF(COUNTIF(D189:D203, D189) &gt; 1, "VALUE INCONSISTENCY", "OK")
        )
    ),
    ""
)</f>
        <v/>
      </c>
    </row>
    <row r="190" spans="3:13" x14ac:dyDescent="0.35">
      <c r="C190" s="139">
        <v>2</v>
      </c>
      <c r="D190" s="774"/>
      <c r="E190" s="774"/>
      <c r="F190" s="774"/>
      <c r="G190" s="869"/>
      <c r="H190" s="869"/>
      <c r="I190" s="869"/>
      <c r="J190" s="286"/>
      <c r="K190" s="286"/>
      <c r="L190" s="287" t="str">
        <f t="shared" ref="L190:L202" si="3">IF(AND(D190="",J190="",K190=""),"-",SUM(J190:K190))</f>
        <v>-</v>
      </c>
      <c r="M190" s="15" t="str">
        <f t="shared" ref="M190:M203" si="4">IF(COUNTIF(enum_ListWasteCategories,D190)&gt;0,"ERROR",
IF(AND(D190&lt;&gt;"",G190&lt;&gt;"",J190&lt;&gt;"",K190&lt;&gt;""),
IF(COUNTIF($D$189:$D$203,D190)&gt;1,"VALUE INCONSISTENCY","OK"),
IF(AND(D190&lt;&gt;"",G190&lt;&gt;"",J190&lt;&gt;"",K190=""),"MISSING VALUE",
IF(AND(D190&lt;&gt;"",G190&lt;&gt;"",J190="",K190&lt;&gt;""),"MISSING VALUE",
IF(AND(D190&lt;&gt;"",G190="",J190&lt;&gt;"",K190&lt;&gt;""),"MISSING VALUE",
IF(AND(D190="",G190&lt;&gt;"",J190&lt;&gt;"",K190&lt;&gt;""),"MISSING VALUE",
IF(AND(D190&lt;&gt;"",G190&lt;&gt;"",J190="",K190=""),"MISSING VALUE",
IF(AND(D190&lt;&gt;"",G190="",J190&lt;&gt;"",K190=""),"MISSING VALUE",
IF(AND(D190&lt;&gt;"",G190="",J190="",K190&lt;&gt;""),"MISSING VALUE",
IF(AND(D190="",G190="",J190&lt;&gt;"",K190&lt;&gt;""),"MISSING VALUE",
IF(AND(D190="",G190&lt;&gt;"",J190="",K190&lt;&gt;""),"MISSING VALUE",
IF(AND(D190="",G190&lt;&gt;"",J190&lt;&gt;"",K190=""),"MISSING VALUE",
IF(AND(D190="",G190="",J190="",K190&lt;&gt;""),"MISSING VALUE",
IF(AND(D190="",G190="",J190&lt;&gt;"",K190=""),"MISSING VALUE",
IF(AND(D190="",G190&lt;&gt;"",J190="",K190=""),"MISSING VALUE",
IF(AND(D190&lt;&gt;"",G190="",J190="",K190=""),"MISSING VALUE",
""))))))))))))))))</f>
        <v/>
      </c>
    </row>
    <row r="191" spans="3:13" ht="15" thickBot="1" x14ac:dyDescent="0.4">
      <c r="C191" s="120">
        <v>3</v>
      </c>
      <c r="D191" s="870"/>
      <c r="E191" s="870"/>
      <c r="F191" s="870"/>
      <c r="G191" s="871"/>
      <c r="H191" s="871"/>
      <c r="I191" s="871"/>
      <c r="J191" s="288"/>
      <c r="K191" s="288"/>
      <c r="L191" s="289" t="str">
        <f t="shared" si="3"/>
        <v>-</v>
      </c>
      <c r="M191" s="15" t="str">
        <f t="shared" si="4"/>
        <v/>
      </c>
    </row>
    <row r="192" spans="3:13" hidden="1" outlineLevel="1" x14ac:dyDescent="0.35">
      <c r="C192" s="14">
        <v>4</v>
      </c>
      <c r="D192" s="873"/>
      <c r="E192" s="873"/>
      <c r="F192" s="873"/>
      <c r="G192" s="881"/>
      <c r="H192" s="881"/>
      <c r="I192" s="881"/>
      <c r="J192" s="290"/>
      <c r="K192" s="290"/>
      <c r="L192" s="291" t="str">
        <f t="shared" si="3"/>
        <v>-</v>
      </c>
      <c r="M192" s="15" t="str">
        <f t="shared" si="4"/>
        <v/>
      </c>
    </row>
    <row r="193" spans="3:13" hidden="1" outlineLevel="1" x14ac:dyDescent="0.35">
      <c r="C193" s="139">
        <v>5</v>
      </c>
      <c r="D193" s="774"/>
      <c r="E193" s="774"/>
      <c r="F193" s="774"/>
      <c r="G193" s="869"/>
      <c r="H193" s="869"/>
      <c r="I193" s="869"/>
      <c r="J193" s="286"/>
      <c r="K193" s="286"/>
      <c r="L193" s="287" t="str">
        <f>IF(AND(D193="",J193="",K193=""),"-",SUM(J193:K193))</f>
        <v>-</v>
      </c>
      <c r="M193" s="15" t="str">
        <f t="shared" si="4"/>
        <v/>
      </c>
    </row>
    <row r="194" spans="3:13" hidden="1" outlineLevel="1" x14ac:dyDescent="0.35">
      <c r="C194" s="139">
        <v>6</v>
      </c>
      <c r="D194" s="905"/>
      <c r="E194" s="906"/>
      <c r="F194" s="907"/>
      <c r="G194" s="869"/>
      <c r="H194" s="869"/>
      <c r="I194" s="869"/>
      <c r="J194" s="286"/>
      <c r="K194" s="286"/>
      <c r="L194" s="287" t="str">
        <f>IF(AND(D194="",J194="",K194=""),"-",SUM(J194:K194))</f>
        <v>-</v>
      </c>
      <c r="M194" s="15" t="str">
        <f t="shared" si="4"/>
        <v/>
      </c>
    </row>
    <row r="195" spans="3:13" hidden="1" outlineLevel="1" x14ac:dyDescent="0.35">
      <c r="C195" s="139">
        <v>7</v>
      </c>
      <c r="D195" s="774"/>
      <c r="E195" s="774"/>
      <c r="F195" s="774"/>
      <c r="G195" s="869"/>
      <c r="H195" s="869"/>
      <c r="I195" s="869"/>
      <c r="J195" s="286"/>
      <c r="K195" s="286"/>
      <c r="L195" s="287" t="str">
        <f>IF(AND(D195="",J195="",K195=""),"-",SUM(J195:K195))</f>
        <v>-</v>
      </c>
      <c r="M195" s="15" t="str">
        <f t="shared" si="4"/>
        <v/>
      </c>
    </row>
    <row r="196" spans="3:13" hidden="1" outlineLevel="1" x14ac:dyDescent="0.35">
      <c r="C196" s="139">
        <v>8</v>
      </c>
      <c r="D196" s="774"/>
      <c r="E196" s="774"/>
      <c r="F196" s="774"/>
      <c r="G196" s="869"/>
      <c r="H196" s="869"/>
      <c r="I196" s="869"/>
      <c r="J196" s="286"/>
      <c r="K196" s="286"/>
      <c r="L196" s="287" t="str">
        <f t="shared" si="3"/>
        <v>-</v>
      </c>
      <c r="M196" s="15" t="str">
        <f t="shared" si="4"/>
        <v/>
      </c>
    </row>
    <row r="197" spans="3:13" hidden="1" outlineLevel="1" x14ac:dyDescent="0.35">
      <c r="C197" s="139">
        <v>9</v>
      </c>
      <c r="D197" s="774"/>
      <c r="E197" s="774"/>
      <c r="F197" s="774"/>
      <c r="G197" s="869"/>
      <c r="H197" s="869"/>
      <c r="I197" s="869"/>
      <c r="J197" s="286"/>
      <c r="K197" s="286"/>
      <c r="L197" s="287" t="str">
        <f t="shared" si="3"/>
        <v>-</v>
      </c>
      <c r="M197" s="15" t="str">
        <f t="shared" si="4"/>
        <v/>
      </c>
    </row>
    <row r="198" spans="3:13" hidden="1" outlineLevel="1" x14ac:dyDescent="0.35">
      <c r="C198" s="139">
        <v>10</v>
      </c>
      <c r="D198" s="774"/>
      <c r="E198" s="774"/>
      <c r="F198" s="774"/>
      <c r="G198" s="869"/>
      <c r="H198" s="869"/>
      <c r="I198" s="869"/>
      <c r="J198" s="286"/>
      <c r="K198" s="286"/>
      <c r="L198" s="287" t="str">
        <f t="shared" si="3"/>
        <v>-</v>
      </c>
      <c r="M198" s="15" t="str">
        <f t="shared" si="4"/>
        <v/>
      </c>
    </row>
    <row r="199" spans="3:13" hidden="1" outlineLevel="1" x14ac:dyDescent="0.35">
      <c r="C199" s="139">
        <v>11</v>
      </c>
      <c r="D199" s="774"/>
      <c r="E199" s="774"/>
      <c r="F199" s="774"/>
      <c r="G199" s="869"/>
      <c r="H199" s="869"/>
      <c r="I199" s="869"/>
      <c r="J199" s="286"/>
      <c r="K199" s="286"/>
      <c r="L199" s="287" t="str">
        <f t="shared" si="3"/>
        <v>-</v>
      </c>
      <c r="M199" s="15" t="str">
        <f t="shared" si="4"/>
        <v/>
      </c>
    </row>
    <row r="200" spans="3:13" hidden="1" outlineLevel="1" x14ac:dyDescent="0.35">
      <c r="C200" s="139">
        <v>12</v>
      </c>
      <c r="D200" s="774"/>
      <c r="E200" s="774"/>
      <c r="F200" s="774"/>
      <c r="G200" s="869"/>
      <c r="H200" s="869"/>
      <c r="I200" s="869"/>
      <c r="J200" s="286"/>
      <c r="K200" s="286"/>
      <c r="L200" s="287" t="str">
        <f t="shared" si="3"/>
        <v>-</v>
      </c>
      <c r="M200" s="15" t="str">
        <f t="shared" si="4"/>
        <v/>
      </c>
    </row>
    <row r="201" spans="3:13" hidden="1" outlineLevel="1" x14ac:dyDescent="0.35">
      <c r="C201" s="139">
        <v>13</v>
      </c>
      <c r="D201" s="774"/>
      <c r="E201" s="774"/>
      <c r="F201" s="774"/>
      <c r="G201" s="869"/>
      <c r="H201" s="869"/>
      <c r="I201" s="869"/>
      <c r="J201" s="286"/>
      <c r="K201" s="286"/>
      <c r="L201" s="287" t="str">
        <f t="shared" si="3"/>
        <v>-</v>
      </c>
      <c r="M201" s="15" t="str">
        <f t="shared" si="4"/>
        <v/>
      </c>
    </row>
    <row r="202" spans="3:13" hidden="1" outlineLevel="1" x14ac:dyDescent="0.35">
      <c r="C202" s="139">
        <v>14</v>
      </c>
      <c r="D202" s="774"/>
      <c r="E202" s="774"/>
      <c r="F202" s="774"/>
      <c r="G202" s="869"/>
      <c r="H202" s="869"/>
      <c r="I202" s="869"/>
      <c r="J202" s="286"/>
      <c r="K202" s="286"/>
      <c r="L202" s="287" t="str">
        <f t="shared" si="3"/>
        <v>-</v>
      </c>
      <c r="M202" s="15" t="str">
        <f t="shared" si="4"/>
        <v/>
      </c>
    </row>
    <row r="203" spans="3:13" ht="15" hidden="1" outlineLevel="1" thickBot="1" x14ac:dyDescent="0.4">
      <c r="C203" s="45">
        <v>15</v>
      </c>
      <c r="D203" s="866"/>
      <c r="E203" s="867"/>
      <c r="F203" s="868"/>
      <c r="G203" s="871"/>
      <c r="H203" s="871"/>
      <c r="I203" s="871"/>
      <c r="J203" s="292"/>
      <c r="K203" s="292"/>
      <c r="L203" s="289" t="str">
        <f>IF(AND(D203="",J203="",K203=""),"-",SUM(J203:K203))</f>
        <v>-</v>
      </c>
      <c r="M203" s="15" t="str">
        <f t="shared" si="4"/>
        <v/>
      </c>
    </row>
    <row r="204" spans="3:13" collapsed="1" x14ac:dyDescent="0.35">
      <c r="C204" s="863" t="s">
        <v>4153</v>
      </c>
      <c r="D204" s="892" t="s">
        <v>4154</v>
      </c>
      <c r="E204" s="892"/>
      <c r="F204" s="893"/>
      <c r="G204" s="902"/>
      <c r="H204" s="902"/>
      <c r="I204" s="903"/>
      <c r="J204" s="855" t="str">
        <f>IF(OR(G204="", AND(D189="",J189="",K189="",D190="",J190="",K190="",D191="",J191="",K191="",D192="",J192="",K192="",D193="",J193="",K193="",D194="",J194="",K194="",D195="",J195="",K195="",D196="",J196="",K196="",D197="",J197="",K197="",D198="",J198="",K198="",D199="",J199="",K199="",D200="",J200="",K200="",D201="",J201="",K201="",D202="",J202="",K202="",D203="",J203="",K203="")),
    "-",
    IF(G204="tonnes métriques (t)",
        SUMIFS(L189:L203, D189:D203, "* Dangereux *", G189:G203, "*kilogrammes (kg)*") / 1000 +
        SUMIFS(L189:L203, D189:D203, "* Dangereux *", G189:G203, "*tonnes métriques (t)*"),
        SUMIFS(L189:L203, D189:D203, "* Dangereux *", G189:G203, "*kilogrammes (kg)*") +
        SUMIFS(L189:L203, D189:D203, "* Dangereux *", G189:G203, "*tonnes métriques (t)*") * 1000
    )
)</f>
        <v>-</v>
      </c>
      <c r="K204" s="856"/>
      <c r="L204" s="857"/>
      <c r="M204" s="15" t="str" cm="1">
        <f t="array" ref="M204">IF(G204="",
    IF(SUMPRODUCT(--((G189:G203="metric tonnes (t)")+(G189:G203="kilograms (kg)")))&gt;0,
        "MISSING VALUE",
        ""
    ),
    IF(SUMPRODUCT(--((G189:G203="metric tonnes (t)")+(G189:G203="kilograms (kg)")))&gt;0,
        "OK",
        ""
    )
)</f>
        <v/>
      </c>
    </row>
    <row r="205" spans="3:13" x14ac:dyDescent="0.35">
      <c r="C205" s="864"/>
      <c r="D205" s="877" t="s">
        <v>4155</v>
      </c>
      <c r="E205" s="877"/>
      <c r="F205" s="878"/>
      <c r="G205" s="908" t="str">
        <f>IF($G$204="", "-", $G$204)</f>
        <v>-</v>
      </c>
      <c r="H205" s="908"/>
      <c r="I205" s="909"/>
      <c r="J205" s="858" t="str">
        <f>IF(OR(G204="", AND(D189="",J189="",K189="",D190="",J190="",K190="",D191="",J191="",K191="",D192="",J192="",K192="",D193="",J193="",K193="",D194="",J194="",K194="",D195="",J195="",K195="",D196="",J196="",K196="",D197="",J197="",K197="",D198="",J198="",K198="",D199="",J199="",K199="",D200="",J200="",K200="",D201="",J201="",K201="",D202="",J202="",K202="",D203="",J203="",K203="")),
    "-",
    IF(G204="tonnes métriques (t)",
        SUMIFS(L189:L203, D189:D203, "* Non dangereux *", G189:G203, "*kilogrammes (kg)*") / 1000 +
        SUMIFS(L189:L203, D189:D203, "* Non dangereux *", G189:G203, "*tonnes métriques (t)*"),
        SUMIFS(L189:L203, D189:D203, "* Non dangereux *", G189:G203, "*kilogrammes (kg)*") +
        SUMIFS(L189:L203, D189:D203, "* Non dangereux *", G189:G203, "*tonnes métriques (t)*") * 1000
    )
)</f>
        <v>-</v>
      </c>
      <c r="K205" s="859"/>
      <c r="L205" s="860"/>
    </row>
    <row r="206" spans="3:13" ht="15" thickBot="1" x14ac:dyDescent="0.4">
      <c r="C206" s="864"/>
      <c r="D206" s="885" t="s">
        <v>4156</v>
      </c>
      <c r="E206" s="885"/>
      <c r="F206" s="886"/>
      <c r="G206" s="908" t="str">
        <f>IF($G$204="", "-", $G$204)</f>
        <v>-</v>
      </c>
      <c r="H206" s="910"/>
      <c r="I206" s="911"/>
      <c r="J206" s="747" t="str">
        <f>IF(AND(J204="-",J205="-"),"-",SUM(J204:L205))</f>
        <v>-</v>
      </c>
      <c r="K206" s="861"/>
      <c r="L206" s="862"/>
    </row>
    <row r="207" spans="3:13" x14ac:dyDescent="0.35">
      <c r="C207" s="864"/>
      <c r="D207" s="875" t="s">
        <v>4157</v>
      </c>
      <c r="E207" s="875"/>
      <c r="F207" s="876"/>
      <c r="G207" s="880" t="s">
        <v>4160</v>
      </c>
      <c r="H207" s="880"/>
      <c r="I207" s="880"/>
      <c r="J207" s="855" t="str">
        <f>IF(AND(D189="",J189="",K189="",D190="",J190="",K190="",D191="",J191="",K191="",D192="",J192="",K192="",D193="",J193="",K193="",D194="",J194="",K194="",D195="",J195="",K195="",D196="",J196="",K196="",D197="",J197="",K197="",D198="",J198="",K198="",D199="",J199="",K199="",D200="",J200="",K200="",D201="",J201="",K201="",D202="",J202="",K202="",D203="",J203="",K203=""),"-",SUMIFS(L189:L203, D189:D203,"* Dangereux *", G189:G203,"*mètres cubes (m3)*"))</f>
        <v>-</v>
      </c>
      <c r="K207" s="856"/>
      <c r="L207" s="857"/>
    </row>
    <row r="208" spans="3:13" x14ac:dyDescent="0.35">
      <c r="C208" s="864"/>
      <c r="D208" s="877" t="s">
        <v>4158</v>
      </c>
      <c r="E208" s="877"/>
      <c r="F208" s="878"/>
      <c r="G208" s="908" t="s">
        <v>4160</v>
      </c>
      <c r="H208" s="908"/>
      <c r="I208" s="908"/>
      <c r="J208" s="858" t="str">
        <f>IF(AND(D189="",J189="",K189="",D190="",J190="",K190="",D191="",J191="",K191="",D192="",J192="",K192="",D193="",J193="",K193="",D194="",J194="",K194="",D195="",J195="",K195="",D196="",J196="",K196="",D197="",J197="",K197="",D198="",J198="",K198="",D199="",J199="",K199="",D200="",J200="",K200="",D201="",J201="",K201="",D202="",J202="",K202="",D203="",J203="",K203=""),"-",SUMIFS(L189:L203, D189:D203,"*Non dangereux*", G189:G203,"*mètres cubes (m3)*"))</f>
        <v>-</v>
      </c>
      <c r="K208" s="859"/>
      <c r="L208" s="860"/>
    </row>
    <row r="209" spans="3:12" ht="15" thickBot="1" x14ac:dyDescent="0.4">
      <c r="C209" s="865"/>
      <c r="D209" s="885" t="s">
        <v>4159</v>
      </c>
      <c r="E209" s="885"/>
      <c r="F209" s="886"/>
      <c r="G209" s="910" t="s">
        <v>4160</v>
      </c>
      <c r="H209" s="910"/>
      <c r="I209" s="910"/>
      <c r="J209" s="747" t="str">
        <f>IF(AND(J207="-",J208="-"),"-",SUM(J207:L208))</f>
        <v>-</v>
      </c>
      <c r="K209" s="861"/>
      <c r="L209" s="862"/>
    </row>
    <row r="210" spans="3:12" ht="15" thickBot="1" x14ac:dyDescent="0.4"/>
    <row r="211" spans="3:12" x14ac:dyDescent="0.35">
      <c r="C211" s="683" t="str">
        <f>"B7 – Flux massique annuel des matières pertinentes utilisées " &amp; template_reporting_period_display &amp; "  [si pertinent] "</f>
        <v xml:space="preserve">B7 – Flux massique annuel des matières pertinentes utilisées du - au -  [si pertinent] </v>
      </c>
      <c r="D211" s="684"/>
      <c r="E211" s="684"/>
      <c r="F211" s="684"/>
      <c r="G211" s="684"/>
      <c r="H211" s="684"/>
      <c r="I211" s="684"/>
      <c r="J211" s="685"/>
    </row>
    <row r="212" spans="3:12" x14ac:dyDescent="0.35">
      <c r="C212" s="686" t="s">
        <v>3938</v>
      </c>
      <c r="D212" s="687"/>
      <c r="E212" s="687"/>
      <c r="F212" s="687"/>
      <c r="G212" s="687"/>
      <c r="H212" s="687"/>
      <c r="I212" s="687"/>
      <c r="J212" s="688"/>
    </row>
    <row r="213" spans="3:12" x14ac:dyDescent="0.35">
      <c r="C213" s="711" t="s">
        <v>3939</v>
      </c>
      <c r="D213" s="712"/>
      <c r="E213" s="712"/>
      <c r="F213" s="712"/>
      <c r="G213" s="712"/>
      <c r="H213" s="712"/>
      <c r="I213" s="712"/>
      <c r="J213" s="767"/>
      <c r="K213" s="9"/>
      <c r="L213" s="9"/>
    </row>
    <row r="214" spans="3:12" ht="30" customHeight="1" x14ac:dyDescent="0.35">
      <c r="C214" s="607" t="s">
        <v>4828</v>
      </c>
      <c r="D214" s="915"/>
      <c r="E214" s="915"/>
      <c r="F214" s="916"/>
      <c r="G214" s="609" t="b">
        <v>0</v>
      </c>
      <c r="H214" s="610"/>
      <c r="I214" s="610"/>
      <c r="J214" s="611"/>
    </row>
    <row r="215" spans="3:12" ht="43.5" customHeight="1" x14ac:dyDescent="0.35">
      <c r="C215" s="140" t="s">
        <v>0</v>
      </c>
      <c r="D215" s="776" t="s">
        <v>4161</v>
      </c>
      <c r="E215" s="776"/>
      <c r="F215" s="776"/>
      <c r="G215" s="776" t="s">
        <v>4162</v>
      </c>
      <c r="H215" s="776"/>
      <c r="I215" s="776"/>
      <c r="J215" s="106" t="s">
        <v>4149</v>
      </c>
    </row>
    <row r="216" spans="3:12" x14ac:dyDescent="0.35">
      <c r="C216" s="3">
        <v>1</v>
      </c>
      <c r="D216" s="671"/>
      <c r="E216" s="671"/>
      <c r="F216" s="671"/>
      <c r="G216" s="666"/>
      <c r="H216" s="666"/>
      <c r="I216" s="666"/>
      <c r="J216" s="143"/>
      <c r="K216" s="16" t="str">
        <f>IF(AND(G214=TRUE,D216&lt;&gt;"",G216&lt;&gt;"",J216&lt;&gt;""),"OK",IF(AND(G214=TRUE,OR(D216="",G216="",J216="")),"MISSING VALUE",""))</f>
        <v/>
      </c>
    </row>
    <row r="217" spans="3:12" x14ac:dyDescent="0.35">
      <c r="C217" s="3">
        <v>2</v>
      </c>
      <c r="D217" s="781"/>
      <c r="E217" s="781"/>
      <c r="F217" s="781"/>
      <c r="G217" s="666"/>
      <c r="H217" s="666"/>
      <c r="I217" s="666"/>
      <c r="J217" s="143"/>
      <c r="K217" s="16" t="str">
        <f>IF(AND(D217&lt;&gt;"",G217&lt;&gt;"",J217&lt;&gt;""),"OK",IF(AND(D217&lt;&gt;"",G217&lt;&gt;"",J217=""),"MISSING VALUE",IF(AND(D217&lt;&gt;"",G217="",J217=""),"MISSING VALUE",IF(AND(D217&lt;&gt;"",G217="",J217=""),"MISSING VALUE",IF(AND(D217="",G217="",J217=""),"","MISSING VALUE")))))</f>
        <v/>
      </c>
    </row>
    <row r="218" spans="3:12" x14ac:dyDescent="0.35">
      <c r="C218" s="3">
        <v>3</v>
      </c>
      <c r="D218" s="781"/>
      <c r="E218" s="781"/>
      <c r="F218" s="781"/>
      <c r="G218" s="666"/>
      <c r="H218" s="666"/>
      <c r="I218" s="666"/>
      <c r="J218" s="143"/>
      <c r="K218" s="16" t="str">
        <f t="shared" ref="K218:K230" si="5">IF(AND(D218&lt;&gt;"",G218&lt;&gt;"",J218&lt;&gt;""),"OK",IF(AND(D218&lt;&gt;"",G218&lt;&gt;"",J218=""),"MISSING VALUE",IF(AND(D218&lt;&gt;"",G218="",J218=""),"MISSING VALUE",IF(AND(D218&lt;&gt;"",G218="",J218=""),"MISSING VALUE",IF(AND(D218="",G218="",J218=""),"","MISSING VALUE")))))</f>
        <v/>
      </c>
    </row>
    <row r="219" spans="3:12" outlineLevel="1" x14ac:dyDescent="0.35">
      <c r="C219" s="3">
        <v>4</v>
      </c>
      <c r="D219" s="781"/>
      <c r="E219" s="781"/>
      <c r="F219" s="781"/>
      <c r="G219" s="666"/>
      <c r="H219" s="666"/>
      <c r="I219" s="666"/>
      <c r="J219" s="143"/>
      <c r="K219" s="16" t="str">
        <f t="shared" si="5"/>
        <v/>
      </c>
    </row>
    <row r="220" spans="3:12" outlineLevel="1" x14ac:dyDescent="0.35">
      <c r="C220" s="3">
        <v>5</v>
      </c>
      <c r="D220" s="781"/>
      <c r="E220" s="781"/>
      <c r="F220" s="781"/>
      <c r="G220" s="666"/>
      <c r="H220" s="666"/>
      <c r="I220" s="666"/>
      <c r="J220" s="143"/>
      <c r="K220" s="16" t="str">
        <f t="shared" si="5"/>
        <v/>
      </c>
    </row>
    <row r="221" spans="3:12" outlineLevel="1" x14ac:dyDescent="0.35">
      <c r="C221" s="3">
        <v>6</v>
      </c>
      <c r="D221" s="671"/>
      <c r="E221" s="671"/>
      <c r="F221" s="671"/>
      <c r="G221" s="666"/>
      <c r="H221" s="666"/>
      <c r="I221" s="666"/>
      <c r="J221" s="143"/>
      <c r="K221" s="16" t="str">
        <f t="shared" si="5"/>
        <v/>
      </c>
    </row>
    <row r="222" spans="3:12" outlineLevel="1" x14ac:dyDescent="0.35">
      <c r="C222" s="3">
        <v>7</v>
      </c>
      <c r="D222" s="671"/>
      <c r="E222" s="671"/>
      <c r="F222" s="671"/>
      <c r="G222" s="666"/>
      <c r="H222" s="666"/>
      <c r="I222" s="666"/>
      <c r="J222" s="143"/>
      <c r="K222" s="16" t="str">
        <f t="shared" si="5"/>
        <v/>
      </c>
    </row>
    <row r="223" spans="3:12" outlineLevel="1" x14ac:dyDescent="0.35">
      <c r="C223" s="3">
        <v>8</v>
      </c>
      <c r="D223" s="671"/>
      <c r="E223" s="671"/>
      <c r="F223" s="671"/>
      <c r="G223" s="666"/>
      <c r="H223" s="666"/>
      <c r="I223" s="666"/>
      <c r="J223" s="143"/>
      <c r="K223" s="16" t="str">
        <f>IF(AND(D223&lt;&gt;"",G223&lt;&gt;"",J223&lt;&gt;""),"OK",IF(AND(D223&lt;&gt;"",G223&lt;&gt;"",J223=""),"MISSING VALUE",IF(AND(D223&lt;&gt;"",G223="",J223=""),"MISSING VALUE",IF(AND(D223&lt;&gt;"",G223="",J223=""),"MISSING VALUE",IF(AND(D223="",G223="",J223=""),"","MISSING VALUE")))))</f>
        <v/>
      </c>
    </row>
    <row r="224" spans="3:12" outlineLevel="1" x14ac:dyDescent="0.35">
      <c r="C224" s="3">
        <v>9</v>
      </c>
      <c r="D224" s="671"/>
      <c r="E224" s="671"/>
      <c r="F224" s="671"/>
      <c r="G224" s="666"/>
      <c r="H224" s="666"/>
      <c r="I224" s="666"/>
      <c r="J224" s="143"/>
      <c r="K224" s="16" t="str">
        <f t="shared" si="5"/>
        <v/>
      </c>
    </row>
    <row r="225" spans="1:12" outlineLevel="1" x14ac:dyDescent="0.35">
      <c r="C225" s="3">
        <v>10</v>
      </c>
      <c r="D225" s="671"/>
      <c r="E225" s="671"/>
      <c r="F225" s="671"/>
      <c r="G225" s="663"/>
      <c r="H225" s="664"/>
      <c r="I225" s="665"/>
      <c r="J225" s="143"/>
      <c r="K225" s="16" t="str">
        <f>IF(AND(D225&lt;&gt;"",G225&lt;&gt;"",J225&lt;&gt;""),"OK",IF(AND(D225&lt;&gt;"",G225&lt;&gt;"",J225=""),"MISSING VALUE",IF(AND(D225&lt;&gt;"",G225="",J225=""),"MISSING VALUE",IF(AND(D225&lt;&gt;"",G225="",J225=""),"MISSING VALUE",IF(AND(D225="",G225="",J225=""),"","MISSING VALUE")))))</f>
        <v/>
      </c>
    </row>
    <row r="226" spans="1:12" outlineLevel="1" x14ac:dyDescent="0.35">
      <c r="C226" s="3">
        <v>11</v>
      </c>
      <c r="D226" s="758"/>
      <c r="E226" s="759"/>
      <c r="F226" s="760"/>
      <c r="G226" s="663"/>
      <c r="H226" s="664"/>
      <c r="I226" s="665"/>
      <c r="J226" s="143"/>
      <c r="K226" s="16" t="str">
        <f t="shared" si="5"/>
        <v/>
      </c>
    </row>
    <row r="227" spans="1:12" outlineLevel="1" x14ac:dyDescent="0.35">
      <c r="C227" s="3">
        <v>12</v>
      </c>
      <c r="D227" s="758"/>
      <c r="E227" s="759"/>
      <c r="F227" s="760"/>
      <c r="G227" s="663"/>
      <c r="H227" s="664"/>
      <c r="I227" s="665"/>
      <c r="J227" s="143"/>
      <c r="K227" s="16" t="str">
        <f t="shared" si="5"/>
        <v/>
      </c>
    </row>
    <row r="228" spans="1:12" outlineLevel="1" x14ac:dyDescent="0.35">
      <c r="C228" s="3">
        <v>13</v>
      </c>
      <c r="D228" s="758"/>
      <c r="E228" s="759"/>
      <c r="F228" s="760"/>
      <c r="G228" s="912"/>
      <c r="H228" s="913"/>
      <c r="I228" s="914"/>
      <c r="J228" s="143"/>
      <c r="K228" s="16" t="str">
        <f t="shared" si="5"/>
        <v/>
      </c>
    </row>
    <row r="229" spans="1:12" outlineLevel="1" x14ac:dyDescent="0.35">
      <c r="C229" s="3">
        <v>14</v>
      </c>
      <c r="D229" s="758"/>
      <c r="E229" s="759"/>
      <c r="F229" s="760"/>
      <c r="G229" s="663"/>
      <c r="H229" s="664"/>
      <c r="I229" s="665"/>
      <c r="J229" s="143"/>
      <c r="K229" s="16" t="str">
        <f t="shared" si="5"/>
        <v/>
      </c>
    </row>
    <row r="230" spans="1:12" outlineLevel="1" x14ac:dyDescent="0.35">
      <c r="C230" s="3">
        <v>15</v>
      </c>
      <c r="D230" s="758"/>
      <c r="E230" s="759"/>
      <c r="F230" s="760"/>
      <c r="G230" s="663"/>
      <c r="H230" s="664"/>
      <c r="I230" s="665"/>
      <c r="J230" s="143"/>
      <c r="K230" s="16" t="str">
        <f t="shared" si="5"/>
        <v/>
      </c>
    </row>
    <row r="231" spans="1:12" x14ac:dyDescent="0.35">
      <c r="C231" s="779" t="s">
        <v>4163</v>
      </c>
      <c r="D231" s="780"/>
      <c r="E231" s="780"/>
      <c r="F231" s="780"/>
      <c r="G231" s="775" t="str">
        <f>IF(AND(G216="",G217="",J216="",J217="",G218="",J218=""),"-",(SUMIF($J$216:$J$225,"kilogrammes (kg)",$G$216:$G$225))+((SUMIF($J$216:$J$225,"tonnes métriques (t)",$G$216:$G$225))*1000))</f>
        <v>-</v>
      </c>
      <c r="H231" s="775"/>
      <c r="I231" s="775"/>
      <c r="J231" s="141" t="s">
        <v>4639</v>
      </c>
    </row>
    <row r="232" spans="1:12" ht="15" thickBot="1" x14ac:dyDescent="0.4">
      <c r="C232" s="777" t="s">
        <v>4164</v>
      </c>
      <c r="D232" s="778"/>
      <c r="E232" s="778"/>
      <c r="F232" s="778"/>
      <c r="G232" s="746" t="str">
        <f>IF(AND(G216="",G217="",J216="",J217="",G218="",J218=""),"-",SUMIF(J216:J225, "mètres cubes (m3)", G216:G225))</f>
        <v>-</v>
      </c>
      <c r="H232" s="746"/>
      <c r="I232" s="746"/>
      <c r="J232" s="141" t="s">
        <v>4160</v>
      </c>
    </row>
    <row r="233" spans="1:12" ht="15" thickBot="1" x14ac:dyDescent="0.4">
      <c r="D233" s="10"/>
      <c r="E233" s="10"/>
      <c r="F233" s="10"/>
      <c r="G233" s="10"/>
      <c r="H233" s="10"/>
      <c r="I233" s="10"/>
      <c r="J233" s="10"/>
    </row>
    <row r="234" spans="1:12" x14ac:dyDescent="0.35">
      <c r="C234" s="782" t="str">
        <f>"C4 - Risques climatiques " &amp; template_reporting_period_display &amp; " [si pertinent] "</f>
        <v xml:space="preserve">C4 - Risques climatiques du - au - [si pertinent] </v>
      </c>
      <c r="D234" s="783"/>
      <c r="E234" s="783"/>
      <c r="F234" s="783"/>
      <c r="G234" s="783"/>
      <c r="H234" s="783"/>
      <c r="I234" s="783"/>
      <c r="J234" s="783"/>
      <c r="K234" s="784"/>
    </row>
    <row r="235" spans="1:12" ht="39.65" customHeight="1" x14ac:dyDescent="0.35">
      <c r="C235" s="607" t="s">
        <v>4165</v>
      </c>
      <c r="D235" s="788"/>
      <c r="E235" s="789" t="b">
        <v>0</v>
      </c>
      <c r="F235" s="790"/>
      <c r="G235" s="790"/>
      <c r="H235" s="790"/>
      <c r="I235" s="790"/>
      <c r="J235" s="790"/>
      <c r="K235" s="791"/>
    </row>
    <row r="236" spans="1:12" x14ac:dyDescent="0.35">
      <c r="A236" s="248" t="s">
        <v>3940</v>
      </c>
      <c r="B236" s="248" t="s">
        <v>3944</v>
      </c>
      <c r="C236" s="575" t="s">
        <v>4166</v>
      </c>
      <c r="D236" s="575"/>
      <c r="E236" s="632"/>
      <c r="F236" s="633"/>
      <c r="G236" s="633"/>
      <c r="H236" s="633"/>
      <c r="I236" s="633"/>
      <c r="J236" s="633"/>
      <c r="K236" s="634"/>
      <c r="L236" s="15" t="str">
        <f>IF(AND($E$235=TRUE,E236&lt;&gt;""),"OK",IF(AND($E$235=TRUE,G236=""),"MISSING VALUE",""))</f>
        <v/>
      </c>
    </row>
    <row r="237" spans="1:12" ht="28" customHeight="1" x14ac:dyDescent="0.35">
      <c r="A237" s="248" t="s">
        <v>3941</v>
      </c>
      <c r="B237" s="248" t="s">
        <v>3944</v>
      </c>
      <c r="C237" s="575" t="s">
        <v>4773</v>
      </c>
      <c r="D237" s="575"/>
      <c r="E237" s="632"/>
      <c r="F237" s="633"/>
      <c r="G237" s="633"/>
      <c r="H237" s="633"/>
      <c r="I237" s="633"/>
      <c r="J237" s="633"/>
      <c r="K237" s="634"/>
      <c r="L237" s="15" t="str">
        <f>IF(AND($E$235=TRUE,E237&lt;&gt;""),"OK",IF(AND($E$235=TRUE,G237=""),"MISSING VALUE",""))</f>
        <v/>
      </c>
    </row>
    <row r="238" spans="1:12" x14ac:dyDescent="0.35">
      <c r="A238" s="248" t="s">
        <v>3942</v>
      </c>
      <c r="B238" s="248" t="s">
        <v>3944</v>
      </c>
      <c r="C238" s="575" t="s">
        <v>4774</v>
      </c>
      <c r="D238" s="575"/>
      <c r="E238" s="632"/>
      <c r="F238" s="633"/>
      <c r="G238" s="633"/>
      <c r="H238" s="633"/>
      <c r="I238" s="633"/>
      <c r="J238" s="633"/>
      <c r="K238" s="634"/>
      <c r="L238" s="15" t="str">
        <f>IF(AND($E$235=TRUE,E238&lt;&gt;""),"OK",IF(AND($E$235=TRUE,G238=""),"MISSING VALUE",""))</f>
        <v/>
      </c>
    </row>
    <row r="239" spans="1:12" ht="27" customHeight="1" x14ac:dyDescent="0.35">
      <c r="A239" s="248" t="s">
        <v>3943</v>
      </c>
      <c r="B239" s="248" t="s">
        <v>3944</v>
      </c>
      <c r="C239" s="575" t="s">
        <v>4776</v>
      </c>
      <c r="D239" s="575"/>
      <c r="E239" s="785"/>
      <c r="F239" s="786"/>
      <c r="G239" s="786"/>
      <c r="H239" s="786"/>
      <c r="I239" s="786"/>
      <c r="J239" s="786"/>
      <c r="K239" s="787"/>
      <c r="L239" s="15" t="str">
        <f>IF(AND($E$235=TRUE,E239&lt;&gt;""),"OK",IF(AND($E$235=TRUE,G239=""),"MISSING VALUE",""))</f>
        <v/>
      </c>
    </row>
    <row r="240" spans="1:12" ht="45.75" customHeight="1" thickBot="1" x14ac:dyDescent="0.4">
      <c r="A240" s="248">
        <v>58</v>
      </c>
      <c r="B240" s="248" t="s">
        <v>3944</v>
      </c>
      <c r="C240" s="532" t="s">
        <v>4775</v>
      </c>
      <c r="D240" s="532"/>
      <c r="E240" s="635"/>
      <c r="F240" s="636"/>
      <c r="G240" s="636"/>
      <c r="H240" s="636"/>
      <c r="I240" s="636"/>
      <c r="J240" s="636"/>
      <c r="K240" s="637"/>
      <c r="L240" s="15" t="str">
        <f>IF(AND($E$235=TRUE,E240&lt;&gt;""),"OK","")</f>
        <v/>
      </c>
    </row>
    <row r="241" spans="3:13" ht="15" thickBot="1" x14ac:dyDescent="0.4"/>
    <row r="242" spans="3:13" x14ac:dyDescent="0.35">
      <c r="C242" s="520" t="str">
        <f xml:space="preserve"> "Autres informations environnementales ou informations environnementales spécifiques à l'entité " &amp; template_reporting_period_display &amp; " [facultatif] "</f>
        <v xml:space="preserve">Autres informations environnementales ou informations environnementales spécifiques à l'entité du - au - [facultatif] </v>
      </c>
      <c r="D242" s="521"/>
      <c r="E242" s="521"/>
      <c r="F242" s="521"/>
      <c r="G242" s="521"/>
      <c r="H242" s="521"/>
      <c r="I242" s="521"/>
      <c r="J242" s="521"/>
      <c r="K242" s="521"/>
      <c r="L242" s="522"/>
    </row>
    <row r="243" spans="3:13" x14ac:dyDescent="0.35">
      <c r="C243" s="499">
        <v>10</v>
      </c>
      <c r="D243" s="500"/>
      <c r="E243" s="500"/>
      <c r="F243" s="500"/>
      <c r="G243" s="500"/>
      <c r="H243" s="500"/>
      <c r="I243" s="500"/>
      <c r="J243" s="500"/>
      <c r="K243" s="500"/>
      <c r="L243" s="501"/>
      <c r="M243" s="6"/>
    </row>
    <row r="244" spans="3:13" ht="15" thickBot="1" x14ac:dyDescent="0.4">
      <c r="C244" s="514"/>
      <c r="D244" s="515"/>
      <c r="E244" s="515"/>
      <c r="F244" s="515"/>
      <c r="G244" s="515"/>
      <c r="H244" s="515"/>
      <c r="I244" s="515"/>
      <c r="J244" s="515"/>
      <c r="K244" s="515"/>
      <c r="L244" s="515"/>
      <c r="M244" s="103" t="str">
        <f>IF(C244&lt;&gt;"", "OK", "")</f>
        <v/>
      </c>
    </row>
  </sheetData>
  <sheetProtection formatColumns="0" formatRows="0" insertRows="0"/>
  <mergeCells count="405">
    <mergeCell ref="D230:F230"/>
    <mergeCell ref="G227:I227"/>
    <mergeCell ref="G229:I229"/>
    <mergeCell ref="G230:I230"/>
    <mergeCell ref="G228:I228"/>
    <mergeCell ref="J209:L209"/>
    <mergeCell ref="J208:L208"/>
    <mergeCell ref="G208:I208"/>
    <mergeCell ref="G209:I209"/>
    <mergeCell ref="D226:F226"/>
    <mergeCell ref="G226:I226"/>
    <mergeCell ref="D227:F227"/>
    <mergeCell ref="C213:J213"/>
    <mergeCell ref="C211:J211"/>
    <mergeCell ref="C212:J212"/>
    <mergeCell ref="C214:F214"/>
    <mergeCell ref="G214:J214"/>
    <mergeCell ref="D209:F209"/>
    <mergeCell ref="D215:F215"/>
    <mergeCell ref="D216:F216"/>
    <mergeCell ref="D217:F217"/>
    <mergeCell ref="D218:F218"/>
    <mergeCell ref="D220:F220"/>
    <mergeCell ref="D228:F228"/>
    <mergeCell ref="G205:I205"/>
    <mergeCell ref="G206:I206"/>
    <mergeCell ref="G109:I109"/>
    <mergeCell ref="G117:I117"/>
    <mergeCell ref="G150:I150"/>
    <mergeCell ref="G151:I151"/>
    <mergeCell ref="G99:I99"/>
    <mergeCell ref="G142:I142"/>
    <mergeCell ref="G137:I137"/>
    <mergeCell ref="G138:I138"/>
    <mergeCell ref="G139:I139"/>
    <mergeCell ref="G140:I140"/>
    <mergeCell ref="G141:I141"/>
    <mergeCell ref="G143:I143"/>
    <mergeCell ref="G144:I144"/>
    <mergeCell ref="G145:I145"/>
    <mergeCell ref="G146:I146"/>
    <mergeCell ref="G194:I194"/>
    <mergeCell ref="G195:I195"/>
    <mergeCell ref="G196:I196"/>
    <mergeCell ref="G104:I104"/>
    <mergeCell ref="G161:G164"/>
    <mergeCell ref="D204:F204"/>
    <mergeCell ref="G100:I100"/>
    <mergeCell ref="D96:F96"/>
    <mergeCell ref="D135:F135"/>
    <mergeCell ref="D162:F162"/>
    <mergeCell ref="D163:F163"/>
    <mergeCell ref="D164:F164"/>
    <mergeCell ref="D148:F148"/>
    <mergeCell ref="D149:F149"/>
    <mergeCell ref="D160:F160"/>
    <mergeCell ref="D139:F139"/>
    <mergeCell ref="D140:F140"/>
    <mergeCell ref="D141:F141"/>
    <mergeCell ref="D142:F142"/>
    <mergeCell ref="D161:F161"/>
    <mergeCell ref="C157:F157"/>
    <mergeCell ref="G204:I204"/>
    <mergeCell ref="G152:I152"/>
    <mergeCell ref="D196:F196"/>
    <mergeCell ref="D194:F194"/>
    <mergeCell ref="D201:F201"/>
    <mergeCell ref="H183:I183"/>
    <mergeCell ref="D144:F144"/>
    <mergeCell ref="D145:F145"/>
    <mergeCell ref="G39:I39"/>
    <mergeCell ref="G40:I40"/>
    <mergeCell ref="G41:I41"/>
    <mergeCell ref="G42:I42"/>
    <mergeCell ref="G43:I43"/>
    <mergeCell ref="G44:I44"/>
    <mergeCell ref="L30:L44"/>
    <mergeCell ref="D205:F205"/>
    <mergeCell ref="D206:F206"/>
    <mergeCell ref="C74:F74"/>
    <mergeCell ref="G116:I116"/>
    <mergeCell ref="G105:I105"/>
    <mergeCell ref="G132:I132"/>
    <mergeCell ref="C126:K126"/>
    <mergeCell ref="C122:K122"/>
    <mergeCell ref="C125:K125"/>
    <mergeCell ref="H182:I182"/>
    <mergeCell ref="C186:L186"/>
    <mergeCell ref="C187:L187"/>
    <mergeCell ref="G201:I201"/>
    <mergeCell ref="G202:I202"/>
    <mergeCell ref="D198:F198"/>
    <mergeCell ref="D199:F199"/>
    <mergeCell ref="D202:F202"/>
    <mergeCell ref="D207:F207"/>
    <mergeCell ref="D208:F208"/>
    <mergeCell ref="D195:F195"/>
    <mergeCell ref="D193:F193"/>
    <mergeCell ref="G190:I190"/>
    <mergeCell ref="G101:I101"/>
    <mergeCell ref="G102:I102"/>
    <mergeCell ref="G103:I103"/>
    <mergeCell ref="D127:F127"/>
    <mergeCell ref="G119:I119"/>
    <mergeCell ref="G110:I110"/>
    <mergeCell ref="G111:I111"/>
    <mergeCell ref="G112:I112"/>
    <mergeCell ref="G113:I113"/>
    <mergeCell ref="G114:I114"/>
    <mergeCell ref="G106:I106"/>
    <mergeCell ref="G107:I107"/>
    <mergeCell ref="G207:I207"/>
    <mergeCell ref="G191:I191"/>
    <mergeCell ref="G192:I192"/>
    <mergeCell ref="G193:I193"/>
    <mergeCell ref="C124:F124"/>
    <mergeCell ref="G124:K124"/>
    <mergeCell ref="G115:I115"/>
    <mergeCell ref="J204:L204"/>
    <mergeCell ref="J205:L205"/>
    <mergeCell ref="J206:L206"/>
    <mergeCell ref="J207:L207"/>
    <mergeCell ref="C204:C209"/>
    <mergeCell ref="C7:K7"/>
    <mergeCell ref="C8:K8"/>
    <mergeCell ref="C9:K9"/>
    <mergeCell ref="D203:F203"/>
    <mergeCell ref="G197:I197"/>
    <mergeCell ref="G198:I198"/>
    <mergeCell ref="G199:I199"/>
    <mergeCell ref="G200:I200"/>
    <mergeCell ref="D150:F150"/>
    <mergeCell ref="D151:F151"/>
    <mergeCell ref="D152:F152"/>
    <mergeCell ref="D190:F190"/>
    <mergeCell ref="D191:F191"/>
    <mergeCell ref="G203:I203"/>
    <mergeCell ref="D188:F188"/>
    <mergeCell ref="D189:F189"/>
    <mergeCell ref="D192:F192"/>
    <mergeCell ref="G188:I188"/>
    <mergeCell ref="G189:I189"/>
    <mergeCell ref="G21:I21"/>
    <mergeCell ref="G22:I22"/>
    <mergeCell ref="G46:I46"/>
    <mergeCell ref="G97:I97"/>
    <mergeCell ref="G98:I98"/>
    <mergeCell ref="G85:I85"/>
    <mergeCell ref="G86:I86"/>
    <mergeCell ref="G87:I87"/>
    <mergeCell ref="G88:I88"/>
    <mergeCell ref="G89:I89"/>
    <mergeCell ref="G25:I25"/>
    <mergeCell ref="G26:I26"/>
    <mergeCell ref="G27:J27"/>
    <mergeCell ref="G23:I23"/>
    <mergeCell ref="G28:I28"/>
    <mergeCell ref="G45:I45"/>
    <mergeCell ref="G69:K69"/>
    <mergeCell ref="G76:K76"/>
    <mergeCell ref="G35:I35"/>
    <mergeCell ref="G36:I36"/>
    <mergeCell ref="G37:I37"/>
    <mergeCell ref="G38:I38"/>
    <mergeCell ref="G30:I30"/>
    <mergeCell ref="G31:I31"/>
    <mergeCell ref="G32:I32"/>
    <mergeCell ref="G33:I33"/>
    <mergeCell ref="G34:I34"/>
    <mergeCell ref="G24:I24"/>
    <mergeCell ref="D94:F94"/>
    <mergeCell ref="D95:F95"/>
    <mergeCell ref="G20:I20"/>
    <mergeCell ref="G90:I90"/>
    <mergeCell ref="G91:I91"/>
    <mergeCell ref="G92:I92"/>
    <mergeCell ref="G93:I93"/>
    <mergeCell ref="G94:I94"/>
    <mergeCell ref="G75:K75"/>
    <mergeCell ref="D79:F79"/>
    <mergeCell ref="G79:I79"/>
    <mergeCell ref="D46:F46"/>
    <mergeCell ref="D57:K57"/>
    <mergeCell ref="D58:K58"/>
    <mergeCell ref="C52:K52"/>
    <mergeCell ref="C50:K50"/>
    <mergeCell ref="C49:K49"/>
    <mergeCell ref="C71:K71"/>
    <mergeCell ref="G68:K68"/>
    <mergeCell ref="C76:F76"/>
    <mergeCell ref="D147:F147"/>
    <mergeCell ref="C72:K72"/>
    <mergeCell ref="C73:K73"/>
    <mergeCell ref="D47:F47"/>
    <mergeCell ref="G47:I47"/>
    <mergeCell ref="C67:F67"/>
    <mergeCell ref="G67:K67"/>
    <mergeCell ref="C77:K77"/>
    <mergeCell ref="C78:K78"/>
    <mergeCell ref="C75:F75"/>
    <mergeCell ref="D62:K62"/>
    <mergeCell ref="C66:F66"/>
    <mergeCell ref="D102:F102"/>
    <mergeCell ref="D103:F103"/>
    <mergeCell ref="D104:F104"/>
    <mergeCell ref="D105:F105"/>
    <mergeCell ref="D133:F133"/>
    <mergeCell ref="D134:F134"/>
    <mergeCell ref="D87:F87"/>
    <mergeCell ref="D56:K56"/>
    <mergeCell ref="G74:K74"/>
    <mergeCell ref="D100:F100"/>
    <mergeCell ref="C158:F158"/>
    <mergeCell ref="C159:F159"/>
    <mergeCell ref="G147:I147"/>
    <mergeCell ref="G148:I148"/>
    <mergeCell ref="G149:I149"/>
    <mergeCell ref="D136:F136"/>
    <mergeCell ref="D137:F137"/>
    <mergeCell ref="D110:F110"/>
    <mergeCell ref="D119:F119"/>
    <mergeCell ref="C121:K121"/>
    <mergeCell ref="C123:K123"/>
    <mergeCell ref="G127:I127"/>
    <mergeCell ref="G128:I128"/>
    <mergeCell ref="G129:I129"/>
    <mergeCell ref="G130:I130"/>
    <mergeCell ref="G131:I131"/>
    <mergeCell ref="G133:I133"/>
    <mergeCell ref="G134:I134"/>
    <mergeCell ref="G135:I135"/>
    <mergeCell ref="G136:I136"/>
    <mergeCell ref="G118:I118"/>
    <mergeCell ref="C155:F155"/>
    <mergeCell ref="D143:F143"/>
    <mergeCell ref="D146:F146"/>
    <mergeCell ref="C244:L244"/>
    <mergeCell ref="C234:K234"/>
    <mergeCell ref="C242:L242"/>
    <mergeCell ref="E236:K236"/>
    <mergeCell ref="E237:K237"/>
    <mergeCell ref="E239:K239"/>
    <mergeCell ref="E238:K238"/>
    <mergeCell ref="E240:K240"/>
    <mergeCell ref="C239:D239"/>
    <mergeCell ref="C240:D240"/>
    <mergeCell ref="C236:D236"/>
    <mergeCell ref="C237:D237"/>
    <mergeCell ref="C238:D238"/>
    <mergeCell ref="C235:D235"/>
    <mergeCell ref="E235:K235"/>
    <mergeCell ref="D197:F197"/>
    <mergeCell ref="D200:F200"/>
    <mergeCell ref="C243:L243"/>
    <mergeCell ref="G232:I232"/>
    <mergeCell ref="G231:I231"/>
    <mergeCell ref="G215:I215"/>
    <mergeCell ref="C232:F232"/>
    <mergeCell ref="D225:F225"/>
    <mergeCell ref="D224:F224"/>
    <mergeCell ref="D223:F223"/>
    <mergeCell ref="D222:F222"/>
    <mergeCell ref="D221:F221"/>
    <mergeCell ref="C231:F231"/>
    <mergeCell ref="G216:I216"/>
    <mergeCell ref="G217:I217"/>
    <mergeCell ref="G218:I218"/>
    <mergeCell ref="G219:I219"/>
    <mergeCell ref="G220:I220"/>
    <mergeCell ref="G221:I221"/>
    <mergeCell ref="G222:I222"/>
    <mergeCell ref="G223:I223"/>
    <mergeCell ref="G224:I224"/>
    <mergeCell ref="G225:I225"/>
    <mergeCell ref="D219:F219"/>
    <mergeCell ref="D229:F229"/>
    <mergeCell ref="G29:K29"/>
    <mergeCell ref="E170:F170"/>
    <mergeCell ref="C179:G179"/>
    <mergeCell ref="C180:G180"/>
    <mergeCell ref="C181:G181"/>
    <mergeCell ref="C167:D167"/>
    <mergeCell ref="C168:D168"/>
    <mergeCell ref="C173:D173"/>
    <mergeCell ref="D91:F91"/>
    <mergeCell ref="D92:F92"/>
    <mergeCell ref="D128:F128"/>
    <mergeCell ref="D129:F129"/>
    <mergeCell ref="D106:F106"/>
    <mergeCell ref="D107:F107"/>
    <mergeCell ref="D108:F108"/>
    <mergeCell ref="D109:F109"/>
    <mergeCell ref="D93:F93"/>
    <mergeCell ref="D101:F101"/>
    <mergeCell ref="D98:F98"/>
    <mergeCell ref="D83:F83"/>
    <mergeCell ref="D84:F84"/>
    <mergeCell ref="D85:F85"/>
    <mergeCell ref="D86:F86"/>
    <mergeCell ref="C14:F14"/>
    <mergeCell ref="C19:F19"/>
    <mergeCell ref="C29:F29"/>
    <mergeCell ref="D20:F20"/>
    <mergeCell ref="D21:F21"/>
    <mergeCell ref="C68:F68"/>
    <mergeCell ref="C69:F69"/>
    <mergeCell ref="D36:F36"/>
    <mergeCell ref="D37:F37"/>
    <mergeCell ref="D38:F38"/>
    <mergeCell ref="D39:F39"/>
    <mergeCell ref="D40:F40"/>
    <mergeCell ref="D41:F41"/>
    <mergeCell ref="D42:F42"/>
    <mergeCell ref="D43:F43"/>
    <mergeCell ref="D44:F44"/>
    <mergeCell ref="D24:F24"/>
    <mergeCell ref="D28:F28"/>
    <mergeCell ref="D45:F45"/>
    <mergeCell ref="D25:F25"/>
    <mergeCell ref="D26:F26"/>
    <mergeCell ref="C27:F27"/>
    <mergeCell ref="D23:F23"/>
    <mergeCell ref="D35:F35"/>
    <mergeCell ref="C166:D166"/>
    <mergeCell ref="C172:D172"/>
    <mergeCell ref="C174:D174"/>
    <mergeCell ref="E176:F176"/>
    <mergeCell ref="C185:L185"/>
    <mergeCell ref="E169:F169"/>
    <mergeCell ref="D88:F88"/>
    <mergeCell ref="D89:F89"/>
    <mergeCell ref="D90:F90"/>
    <mergeCell ref="D99:F99"/>
    <mergeCell ref="D118:F118"/>
    <mergeCell ref="D117:F117"/>
    <mergeCell ref="D116:F116"/>
    <mergeCell ref="D115:F115"/>
    <mergeCell ref="D114:F114"/>
    <mergeCell ref="D182:G182"/>
    <mergeCell ref="D183:G183"/>
    <mergeCell ref="D113:F113"/>
    <mergeCell ref="D112:F112"/>
    <mergeCell ref="D111:F111"/>
    <mergeCell ref="D130:F130"/>
    <mergeCell ref="G153:I153"/>
    <mergeCell ref="D153:F153"/>
    <mergeCell ref="C156:F156"/>
    <mergeCell ref="C2:K2"/>
    <mergeCell ref="C4:K4"/>
    <mergeCell ref="C3:K3"/>
    <mergeCell ref="G66:K66"/>
    <mergeCell ref="C51:K51"/>
    <mergeCell ref="C65:K65"/>
    <mergeCell ref="C64:K64"/>
    <mergeCell ref="C55:K55"/>
    <mergeCell ref="C16:F16"/>
    <mergeCell ref="C17:F17"/>
    <mergeCell ref="D18:F18"/>
    <mergeCell ref="D22:F22"/>
    <mergeCell ref="G16:K16"/>
    <mergeCell ref="C5:F5"/>
    <mergeCell ref="C12:F12"/>
    <mergeCell ref="C13:F13"/>
    <mergeCell ref="G12:I12"/>
    <mergeCell ref="G13:I13"/>
    <mergeCell ref="G14:I14"/>
    <mergeCell ref="G11:I11"/>
    <mergeCell ref="G17:I17"/>
    <mergeCell ref="G18:I18"/>
    <mergeCell ref="G5:K5"/>
    <mergeCell ref="C11:F11"/>
    <mergeCell ref="L12:L14"/>
    <mergeCell ref="G19:I19"/>
    <mergeCell ref="C10:F10"/>
    <mergeCell ref="G10:K10"/>
    <mergeCell ref="D131:F131"/>
    <mergeCell ref="D132:F132"/>
    <mergeCell ref="D138:F138"/>
    <mergeCell ref="G80:I80"/>
    <mergeCell ref="G81:I81"/>
    <mergeCell ref="G108:I108"/>
    <mergeCell ref="G82:I82"/>
    <mergeCell ref="G83:I83"/>
    <mergeCell ref="G84:I84"/>
    <mergeCell ref="G95:I95"/>
    <mergeCell ref="G96:I96"/>
    <mergeCell ref="D80:F80"/>
    <mergeCell ref="D81:F81"/>
    <mergeCell ref="D82:F82"/>
    <mergeCell ref="D97:F97"/>
    <mergeCell ref="D30:F30"/>
    <mergeCell ref="D31:F31"/>
    <mergeCell ref="D32:F32"/>
    <mergeCell ref="D33:F33"/>
    <mergeCell ref="D34:F34"/>
    <mergeCell ref="L59:L61"/>
    <mergeCell ref="A59:A62"/>
    <mergeCell ref="B59:B62"/>
    <mergeCell ref="C59:C62"/>
    <mergeCell ref="D59:H59"/>
    <mergeCell ref="D60:H60"/>
    <mergeCell ref="D61:H61"/>
    <mergeCell ref="I59:K59"/>
    <mergeCell ref="I60:K60"/>
    <mergeCell ref="I61:K61"/>
  </mergeCells>
  <phoneticPr fontId="3" type="noConversion"/>
  <conditionalFormatting sqref="C52:K52">
    <cfRule type="expression" dxfId="295" priority="161">
      <formula>$J$19=TRUE</formula>
    </cfRule>
  </conditionalFormatting>
  <conditionalFormatting sqref="C78:K78">
    <cfRule type="expression" dxfId="294" priority="146">
      <formula>$G$75=TRUE</formula>
    </cfRule>
    <cfRule type="expression" dxfId="293" priority="158">
      <formula>$G$74=TRUE</formula>
    </cfRule>
    <cfRule type="expression" dxfId="292" priority="168">
      <formula>$G$75=TRUE</formula>
    </cfRule>
  </conditionalFormatting>
  <conditionalFormatting sqref="C126:K126 G129:I152 J129:K153 G153">
    <cfRule type="expression" dxfId="291" priority="156">
      <formula>$G$124=TRUE</formula>
    </cfRule>
  </conditionalFormatting>
  <conditionalFormatting sqref="D58">
    <cfRule type="expression" dxfId="290" priority="182">
      <formula>AND($D$56=TRUE,$D$57="A transition plan has already been adopted")</formula>
    </cfRule>
  </conditionalFormatting>
  <conditionalFormatting sqref="D176">
    <cfRule type="expression" dxfId="289" priority="153">
      <formula>$D$175=TRUE</formula>
    </cfRule>
  </conditionalFormatting>
  <conditionalFormatting sqref="D30:F44">
    <cfRule type="expression" dxfId="288" priority="31">
      <formula>$G$29=TRUE</formula>
    </cfRule>
  </conditionalFormatting>
  <conditionalFormatting sqref="D45:F47">
    <cfRule type="expression" dxfId="287" priority="29">
      <formula>$G$29=FALSE</formula>
    </cfRule>
  </conditionalFormatting>
  <conditionalFormatting sqref="D80:F119">
    <cfRule type="expression" dxfId="286" priority="20">
      <formula>$G$75=TRUE</formula>
    </cfRule>
    <cfRule type="expression" dxfId="285" priority="19">
      <formula>$G$74=TRUE</formula>
    </cfRule>
  </conditionalFormatting>
  <conditionalFormatting sqref="D128:F128">
    <cfRule type="expression" dxfId="284" priority="25">
      <formula>$D$128="VALUE INCONSISTENCY"</formula>
    </cfRule>
  </conditionalFormatting>
  <conditionalFormatting sqref="D129:F153">
    <cfRule type="expression" dxfId="283" priority="80">
      <formula>$D129="VALUE INCONSISTENCY"</formula>
    </cfRule>
  </conditionalFormatting>
  <conditionalFormatting sqref="D183:G183">
    <cfRule type="expression" dxfId="282" priority="190">
      <formula>$D$182="YES"</formula>
    </cfRule>
  </conditionalFormatting>
  <conditionalFormatting sqref="D80:I80 G81:I82 D81:F119">
    <cfRule type="expression" dxfId="281" priority="17">
      <formula>$G$75=TRUE</formula>
    </cfRule>
  </conditionalFormatting>
  <conditionalFormatting sqref="D216:J225 J226:J228 D226:D230 G229:J229 G230 J230">
    <cfRule type="expression" dxfId="280" priority="8">
      <formula>$G$214=TRUE</formula>
    </cfRule>
  </conditionalFormatting>
  <conditionalFormatting sqref="D57:K57">
    <cfRule type="expression" dxfId="279" priority="3">
      <formula>$D$56=FALSE</formula>
    </cfRule>
  </conditionalFormatting>
  <conditionalFormatting sqref="D59:K62">
    <cfRule type="expression" dxfId="278" priority="4">
      <formula>$D$57=""</formula>
    </cfRule>
    <cfRule type="expression" dxfId="277" priority="5">
      <formula>$D$57="A transition plan has already been adopted"</formula>
    </cfRule>
  </conditionalFormatting>
  <conditionalFormatting sqref="E169:E170">
    <cfRule type="expression" dxfId="276" priority="221">
      <formula>$E169="MISSING VALUE"</formula>
    </cfRule>
    <cfRule type="expression" dxfId="275" priority="220">
      <formula>$E169="OK"</formula>
    </cfRule>
  </conditionalFormatting>
  <conditionalFormatting sqref="E176">
    <cfRule type="expression" dxfId="274" priority="196">
      <formula>$E$176="MISSING VALUE"</formula>
    </cfRule>
    <cfRule type="expression" dxfId="273" priority="197">
      <formula>$E$176="OK"</formula>
    </cfRule>
  </conditionalFormatting>
  <conditionalFormatting sqref="E236:K240">
    <cfRule type="expression" dxfId="272" priority="149">
      <formula>$E$235=TRUE</formula>
    </cfRule>
  </conditionalFormatting>
  <conditionalFormatting sqref="G76">
    <cfRule type="expression" dxfId="271" priority="173">
      <formula>$G$75=TRUE</formula>
    </cfRule>
  </conditionalFormatting>
  <conditionalFormatting sqref="G159:G161">
    <cfRule type="expression" dxfId="270" priority="143">
      <formula>$G159="MISSING VALUE"</formula>
    </cfRule>
    <cfRule type="expression" dxfId="269" priority="144">
      <formula>$G159="OK"</formula>
    </cfRule>
    <cfRule type="expression" dxfId="268" priority="23">
      <formula>$G159="VALUE INCONSISTENCY"</formula>
    </cfRule>
  </conditionalFormatting>
  <conditionalFormatting sqref="G226:G227">
    <cfRule type="expression" dxfId="267" priority="151">
      <formula>$G$214=TRUE</formula>
    </cfRule>
  </conditionalFormatting>
  <conditionalFormatting sqref="G80:I82">
    <cfRule type="expression" dxfId="266" priority="16">
      <formula>$G$74=TRUE</formula>
    </cfRule>
  </conditionalFormatting>
  <conditionalFormatting sqref="G228:I228">
    <cfRule type="expression" dxfId="265" priority="26">
      <formula>$G$214=TRUE</formula>
    </cfRule>
  </conditionalFormatting>
  <conditionalFormatting sqref="G12:J13">
    <cfRule type="expression" dxfId="264" priority="165">
      <formula>$G$10=TRUE</formula>
    </cfRule>
  </conditionalFormatting>
  <conditionalFormatting sqref="G14:J14">
    <cfRule type="expression" dxfId="263" priority="34">
      <formula>$G$10=FALSE</formula>
    </cfRule>
  </conditionalFormatting>
  <conditionalFormatting sqref="G21:J24">
    <cfRule type="expression" dxfId="262" priority="164">
      <formula>$J$19=TRUE</formula>
    </cfRule>
  </conditionalFormatting>
  <conditionalFormatting sqref="G30:J44">
    <cfRule type="expression" dxfId="261" priority="30">
      <formula>AND($G$29=TRUE,$J$19=TRUE)</formula>
    </cfRule>
  </conditionalFormatting>
  <conditionalFormatting sqref="G45:J47">
    <cfRule type="expression" dxfId="260" priority="28">
      <formula>OR($J$19=FALSE,$G$29=FALSE)</formula>
    </cfRule>
  </conditionalFormatting>
  <conditionalFormatting sqref="G80:J82">
    <cfRule type="expression" dxfId="259" priority="14">
      <formula>$G$75=TRUE</formula>
    </cfRule>
  </conditionalFormatting>
  <conditionalFormatting sqref="G10:K10">
    <cfRule type="expression" dxfId="258" priority="166">
      <formula>$D$105="YES"</formula>
    </cfRule>
  </conditionalFormatting>
  <conditionalFormatting sqref="G68:K69">
    <cfRule type="expression" dxfId="257" priority="93">
      <formula>$G$29=FALSE</formula>
    </cfRule>
  </conditionalFormatting>
  <conditionalFormatting sqref="G75:K75">
    <cfRule type="expression" dxfId="256" priority="159">
      <formula>$G$74=TRUE</formula>
    </cfRule>
  </conditionalFormatting>
  <conditionalFormatting sqref="G83:K119">
    <cfRule type="expression" dxfId="255" priority="172">
      <formula>$G$75=TRUE</formula>
    </cfRule>
    <cfRule type="expression" dxfId="254" priority="160">
      <formula>$G$74=TRUE</formula>
    </cfRule>
    <cfRule type="expression" dxfId="253" priority="157">
      <formula>$G$75=TRUE</formula>
    </cfRule>
  </conditionalFormatting>
  <conditionalFormatting sqref="G128:K128">
    <cfRule type="expression" dxfId="252" priority="155">
      <formula>$G$124=TRUE</formula>
    </cfRule>
  </conditionalFormatting>
  <conditionalFormatting sqref="H182">
    <cfRule type="expression" dxfId="251" priority="192">
      <formula>$H$182="MISSING VALUE"</formula>
    </cfRule>
    <cfRule type="expression" dxfId="250" priority="191">
      <formula>$H$182="OK"</formula>
    </cfRule>
  </conditionalFormatting>
  <conditionalFormatting sqref="H183">
    <cfRule type="expression" dxfId="249" priority="189">
      <formula>$H$183="OK"</formula>
    </cfRule>
    <cfRule type="expression" dxfId="248" priority="188">
      <formula>$H$183="MISSING VALUE"</formula>
    </cfRule>
    <cfRule type="expression" dxfId="247" priority="1">
      <formula>$H$183="VALUE INCONSISTENCY"</formula>
    </cfRule>
  </conditionalFormatting>
  <conditionalFormatting sqref="J80:J82">
    <cfRule type="expression" dxfId="246" priority="13">
      <formula>$G$74=TRUE</formula>
    </cfRule>
  </conditionalFormatting>
  <conditionalFormatting sqref="J80:K82">
    <cfRule type="expression" dxfId="245" priority="11">
      <formula>$G$75=TRUE</formula>
    </cfRule>
  </conditionalFormatting>
  <conditionalFormatting sqref="K30:K44">
    <cfRule type="expression" dxfId="244" priority="2">
      <formula>AND($G30&lt;&gt;"", $J30&lt;&gt;"")</formula>
    </cfRule>
  </conditionalFormatting>
  <conditionalFormatting sqref="K30:K47">
    <cfRule type="expression" dxfId="243" priority="27">
      <formula>OR($J$19=FALSE,$G$29=FALSE)</formula>
    </cfRule>
  </conditionalFormatting>
  <conditionalFormatting sqref="K80:K82">
    <cfRule type="expression" dxfId="242" priority="10">
      <formula>$G$74=TRUE</formula>
    </cfRule>
    <cfRule type="expression" dxfId="241" priority="9">
      <formula>$G$75=TRUE</formula>
    </cfRule>
  </conditionalFormatting>
  <conditionalFormatting sqref="K159:K160">
    <cfRule type="expression" dxfId="240" priority="231">
      <formula>$K$159="OK"</formula>
    </cfRule>
    <cfRule type="expression" dxfId="239" priority="237">
      <formula>$K$159="MISSING VALUE"</formula>
    </cfRule>
  </conditionalFormatting>
  <conditionalFormatting sqref="K161:K164 K166">
    <cfRule type="expression" dxfId="238" priority="223">
      <formula>$K161="OK"</formula>
    </cfRule>
    <cfRule type="expression" dxfId="237" priority="222">
      <formula>$K161="MISSING VALUE"</formula>
    </cfRule>
  </conditionalFormatting>
  <conditionalFormatting sqref="K216:K230">
    <cfRule type="expression" dxfId="236" priority="235">
      <formula>$K216="MISSING VALUE"</formula>
    </cfRule>
    <cfRule type="expression" dxfId="235" priority="236">
      <formula>$K216="OK"</formula>
    </cfRule>
  </conditionalFormatting>
  <conditionalFormatting sqref="L5">
    <cfRule type="expression" dxfId="234" priority="195">
      <formula>$L$5="MISSING VALUE"</formula>
    </cfRule>
    <cfRule type="expression" dxfId="233" priority="193">
      <formula>$L$5= "OK"</formula>
    </cfRule>
  </conditionalFormatting>
  <conditionalFormatting sqref="L12">
    <cfRule type="expression" dxfId="232" priority="24">
      <formula>$L$12="VALUE INCONSISTENCY"</formula>
    </cfRule>
    <cfRule type="expression" dxfId="231" priority="148">
      <formula>$L$12="MISSING VALUE"</formula>
    </cfRule>
    <cfRule type="expression" dxfId="230" priority="218">
      <formula>$L12="OK"</formula>
    </cfRule>
  </conditionalFormatting>
  <conditionalFormatting sqref="L21">
    <cfRule type="expression" dxfId="229" priority="201">
      <formula>$L$21="OK"</formula>
    </cfRule>
    <cfRule type="expression" dxfId="228" priority="200">
      <formula>$L$21="MISSING VALUE"</formula>
    </cfRule>
  </conditionalFormatting>
  <conditionalFormatting sqref="L22">
    <cfRule type="expression" dxfId="227" priority="211">
      <formula>$L$22="OK"</formula>
    </cfRule>
  </conditionalFormatting>
  <conditionalFormatting sqref="L22:L24">
    <cfRule type="expression" dxfId="226" priority="205">
      <formula>$L22="MISSING VALUE"</formula>
    </cfRule>
  </conditionalFormatting>
  <conditionalFormatting sqref="L23:L24">
    <cfRule type="expression" dxfId="225" priority="206">
      <formula>$L23="OK"</formula>
    </cfRule>
  </conditionalFormatting>
  <conditionalFormatting sqref="L30:L44">
    <cfRule type="expression" dxfId="224" priority="32">
      <formula>$L$30="OK"</formula>
    </cfRule>
    <cfRule type="expression" dxfId="223" priority="33">
      <formula>$L$30="MISSING VALUE"</formula>
    </cfRule>
  </conditionalFormatting>
  <conditionalFormatting sqref="L45">
    <cfRule type="expression" dxfId="222" priority="383">
      <formula>$L$45="MISSING VALUE"</formula>
    </cfRule>
    <cfRule type="expression" dxfId="221" priority="384">
      <formula>$L$45="OK"</formula>
    </cfRule>
  </conditionalFormatting>
  <conditionalFormatting sqref="L52">
    <cfRule type="expression" dxfId="220" priority="147">
      <formula>$L$52="MISSING VALUE"</formula>
    </cfRule>
    <cfRule type="expression" dxfId="219" priority="234">
      <formula>$L$52="OK"</formula>
    </cfRule>
  </conditionalFormatting>
  <conditionalFormatting sqref="L56:L59 L62">
    <cfRule type="expression" dxfId="218" priority="176">
      <formula>$L56="ERROR"</formula>
    </cfRule>
    <cfRule type="expression" dxfId="217" priority="179">
      <formula>$L56="MISSING VALUE"</formula>
    </cfRule>
    <cfRule type="expression" dxfId="216" priority="180">
      <formula>$L56="OK"</formula>
    </cfRule>
  </conditionalFormatting>
  <conditionalFormatting sqref="L62">
    <cfRule type="expression" dxfId="215" priority="232">
      <formula>$L$62="OK"</formula>
    </cfRule>
  </conditionalFormatting>
  <conditionalFormatting sqref="L74:L75">
    <cfRule type="expression" dxfId="214" priority="170">
      <formula>$L74="VALUE INCONSISTENCY"</formula>
    </cfRule>
  </conditionalFormatting>
  <conditionalFormatting sqref="L74:L76">
    <cfRule type="expression" dxfId="213" priority="171">
      <formula>$L74="OK"</formula>
    </cfRule>
  </conditionalFormatting>
  <conditionalFormatting sqref="L76">
    <cfRule type="expression" dxfId="212" priority="7">
      <formula>$L$76="INVALID URL"</formula>
    </cfRule>
    <cfRule type="expression" dxfId="211" priority="169">
      <formula>$L$76="MISSING VALUE"</formula>
    </cfRule>
  </conditionalFormatting>
  <conditionalFormatting sqref="L78">
    <cfRule type="expression" dxfId="210" priority="177">
      <formula>$L$78="OK"</formula>
    </cfRule>
    <cfRule type="expression" dxfId="209" priority="178">
      <formula>$L$78="MISSING VALUE"</formula>
    </cfRule>
    <cfRule type="expression" dxfId="208" priority="6">
      <formula>$L$78="VALUE INCONSISTENCY"</formula>
    </cfRule>
  </conditionalFormatting>
  <conditionalFormatting sqref="L80:L119">
    <cfRule type="expression" dxfId="207" priority="174">
      <formula>$L80="MISSING VALUE"</formula>
    </cfRule>
    <cfRule type="expression" dxfId="206" priority="175">
      <formula>$L80="OK"</formula>
    </cfRule>
    <cfRule type="expression" dxfId="205" priority="22">
      <formula>$L80="VALUE INCONSISTENCY"</formula>
    </cfRule>
  </conditionalFormatting>
  <conditionalFormatting sqref="L126">
    <cfRule type="expression" dxfId="204" priority="185">
      <formula>$L$126="OK"</formula>
    </cfRule>
    <cfRule type="expression" dxfId="203" priority="186">
      <formula>$L$126="MISSING VALUE"</formula>
    </cfRule>
  </conditionalFormatting>
  <conditionalFormatting sqref="L128">
    <cfRule type="expression" dxfId="202" priority="84">
      <formula>$D$128="VALUE INCONSISTENCY"</formula>
    </cfRule>
  </conditionalFormatting>
  <conditionalFormatting sqref="L128:L153">
    <cfRule type="expression" dxfId="201" priority="238">
      <formula>$L128="MISSING VALUE"</formula>
    </cfRule>
    <cfRule type="expression" dxfId="200" priority="239">
      <formula>$L128="OK"</formula>
    </cfRule>
    <cfRule type="expression" dxfId="199" priority="187">
      <formula>$L128="VALUE INCONSISTENCY"</formula>
    </cfRule>
  </conditionalFormatting>
  <conditionalFormatting sqref="L129">
    <cfRule type="expression" dxfId="198" priority="83">
      <formula>$D$129="VALUE INCONSISTENCY"</formula>
    </cfRule>
  </conditionalFormatting>
  <conditionalFormatting sqref="L130">
    <cfRule type="expression" dxfId="197" priority="82">
      <formula>$D$130="VALUE INCONSISTENCY"</formula>
    </cfRule>
  </conditionalFormatting>
  <conditionalFormatting sqref="L131">
    <cfRule type="expression" dxfId="196" priority="85">
      <formula>$D$131="VALUE INCONSISTENCY"</formula>
    </cfRule>
  </conditionalFormatting>
  <conditionalFormatting sqref="L132">
    <cfRule type="expression" dxfId="195" priority="81">
      <formula>$D$132="VALUE INCONSISTENCY"</formula>
    </cfRule>
  </conditionalFormatting>
  <conditionalFormatting sqref="L133">
    <cfRule type="expression" dxfId="194" priority="56">
      <formula>$D$133="VALUE INCONSISTENCY"</formula>
    </cfRule>
  </conditionalFormatting>
  <conditionalFormatting sqref="L134">
    <cfRule type="expression" dxfId="193" priority="55">
      <formula>$D$134="VALUE INCONSISTENCY"</formula>
    </cfRule>
  </conditionalFormatting>
  <conditionalFormatting sqref="L135">
    <cfRule type="expression" dxfId="192" priority="54">
      <formula>$D$135="VALUE INCONSISTENCY"</formula>
    </cfRule>
  </conditionalFormatting>
  <conditionalFormatting sqref="L136">
    <cfRule type="expression" dxfId="191" priority="53">
      <formula>$D$136="VALUE INCONSISTENCY"</formula>
    </cfRule>
  </conditionalFormatting>
  <conditionalFormatting sqref="L137">
    <cfRule type="expression" dxfId="190" priority="52">
      <formula>$D$137="VALUE INCONSISTENCY"</formula>
    </cfRule>
  </conditionalFormatting>
  <conditionalFormatting sqref="L138">
    <cfRule type="expression" dxfId="189" priority="51">
      <formula>$D$138="VALUE INCONSISTENCY"</formula>
    </cfRule>
  </conditionalFormatting>
  <conditionalFormatting sqref="L139">
    <cfRule type="expression" dxfId="188" priority="50">
      <formula>$D$139="VALUE INCONSISTENCY"</formula>
    </cfRule>
  </conditionalFormatting>
  <conditionalFormatting sqref="L140">
    <cfRule type="expression" dxfId="187" priority="49">
      <formula>$D$140="VALUE INCONSISTENCY"</formula>
    </cfRule>
  </conditionalFormatting>
  <conditionalFormatting sqref="L141">
    <cfRule type="expression" dxfId="186" priority="48">
      <formula>$D$141="VALUE INCONSISTENCY"</formula>
    </cfRule>
  </conditionalFormatting>
  <conditionalFormatting sqref="L142">
    <cfRule type="expression" dxfId="185" priority="47">
      <formula>$D$142="VALUE INCONSISTENCY"</formula>
    </cfRule>
  </conditionalFormatting>
  <conditionalFormatting sqref="L143">
    <cfRule type="expression" dxfId="184" priority="46">
      <formula>$D$143="VALUE INCONSISTENCY"</formula>
    </cfRule>
  </conditionalFormatting>
  <conditionalFormatting sqref="L144">
    <cfRule type="expression" dxfId="183" priority="45">
      <formula>$D$144="VALUE INCONSISTENCY"</formula>
    </cfRule>
  </conditionalFormatting>
  <conditionalFormatting sqref="L145">
    <cfRule type="expression" dxfId="182" priority="44">
      <formula>$D$145="VALUE INCONSISTENCY"</formula>
    </cfRule>
  </conditionalFormatting>
  <conditionalFormatting sqref="L146">
    <cfRule type="expression" dxfId="181" priority="43">
      <formula>$D$146="VALUE INCONSISTENCY"</formula>
    </cfRule>
  </conditionalFormatting>
  <conditionalFormatting sqref="L147:L148">
    <cfRule type="expression" dxfId="180" priority="41">
      <formula>$D$147="VALUE INCONSISTENCY"</formula>
    </cfRule>
  </conditionalFormatting>
  <conditionalFormatting sqref="L149">
    <cfRule type="expression" dxfId="179" priority="40">
      <formula>$D$149="VALUE INCONSISTENCY"</formula>
    </cfRule>
  </conditionalFormatting>
  <conditionalFormatting sqref="L150">
    <cfRule type="expression" dxfId="178" priority="39">
      <formula>$D$150="VALUE INCONSISTENCY"</formula>
    </cfRule>
  </conditionalFormatting>
  <conditionalFormatting sqref="L151">
    <cfRule type="expression" dxfId="177" priority="38">
      <formula>$D$151="VALUE INCONSISTENCY"</formula>
    </cfRule>
  </conditionalFormatting>
  <conditionalFormatting sqref="L152">
    <cfRule type="expression" dxfId="176" priority="37">
      <formula>$D$152="VALUE INCONSISTENCY"</formula>
    </cfRule>
  </conditionalFormatting>
  <conditionalFormatting sqref="L153">
    <cfRule type="expression" dxfId="175" priority="36">
      <formula>$D$153="VALUE INCONSISTENCY"</formula>
    </cfRule>
  </conditionalFormatting>
  <conditionalFormatting sqref="L236:L240">
    <cfRule type="expression" dxfId="174" priority="145">
      <formula>$L236="MISSING VALUE"</formula>
    </cfRule>
    <cfRule type="expression" dxfId="173" priority="229">
      <formula>$L236="OK"</formula>
    </cfRule>
  </conditionalFormatting>
  <conditionalFormatting sqref="M189:M204">
    <cfRule type="expression" dxfId="172" priority="380">
      <formula>$M189="ERROR"</formula>
    </cfRule>
    <cfRule type="expression" dxfId="171" priority="381">
      <formula>$M189="MISSING VALUE"</formula>
    </cfRule>
    <cfRule type="expression" dxfId="170" priority="382">
      <formula>$M189="OK"</formula>
    </cfRule>
    <cfRule type="expression" dxfId="169" priority="21">
      <formula>$M189="VALUE INCONSISTENCY"</formula>
    </cfRule>
  </conditionalFormatting>
  <conditionalFormatting sqref="M244">
    <cfRule type="expression" dxfId="168" priority="228">
      <formula>$M$244="OK"</formula>
    </cfRule>
  </conditionalFormatting>
  <dataValidations count="64">
    <dataValidation type="list" allowBlank="1" showInputMessage="1" showErrorMessage="1" sqref="C126:K126 C159" xr:uid="{BB6E8662-F11B-4AE9-87E6-9BE13D672F35}">
      <formula1>enum_ListHectM2</formula1>
    </dataValidation>
    <dataValidation type="decimal" operator="equal" allowBlank="1" showInputMessage="1" showErrorMessage="1" sqref="G12:J13 C171:F171 G129:I153 D161:D164 J190:K203 G81:G119 H216:I225 G216:G227 G229:G230 H229:I229 J80:K119 G228:I228" xr:uid="{B2E4A370-DB82-466E-876C-1893EAE8311C}">
      <formula1>C12</formula1>
    </dataValidation>
    <dataValidation type="custom" showInputMessage="1" showErrorMessage="1" sqref="D177:F177" xr:uid="{7F95C833-AC3F-43B8-85EA-74C2C9B45EAB}">
      <formula1>IF(D176&lt;&gt;"",$D$169-$D$176,"-")</formula1>
    </dataValidation>
    <dataValidation type="custom" showInputMessage="1" showErrorMessage="1" sqref="J161:J162" xr:uid="{B409784A-89F0-4AC8-80EC-F39FF2216546}">
      <formula1>IF(AND(D161&lt;&gt;"",G161&lt;&gt;""),(G161-D161)/D161,"-")</formula1>
    </dataValidation>
    <dataValidation type="custom" allowBlank="1" showInputMessage="1" showErrorMessage="1" sqref="J163" xr:uid="{D3095E8A-212A-48DF-93B7-E970D0CBD1A9}">
      <formula1>IF(AND(D163&lt;&gt;"",G163&lt;&gt;""),(G163-D163)/D163,"-")</formula1>
    </dataValidation>
    <dataValidation type="custom" showInputMessage="1" showErrorMessage="1" sqref="J164" xr:uid="{2206BA3F-BFEC-4140-822A-A9D776739A86}">
      <formula1>IF(AND(D164&lt;&gt;"",G164&lt;&gt;""),(G164-D164)/D164,"0,00")</formula1>
    </dataValidation>
    <dataValidation type="custom" showInputMessage="1" showErrorMessage="1" sqref="L11" xr:uid="{95BA17C5-FCE1-4A28-B8C4-1D9AB3C6E781}">
      <formula1>IF(AND(G11="",J11="",K11=""),"-",SUM(G11:K11))</formula1>
    </dataValidation>
    <dataValidation type="custom" showInputMessage="1" showErrorMessage="1" sqref="K22:K26" xr:uid="{7481E956-D9C9-4330-BF36-E8C8226EB1D0}">
      <formula1>IF(AND(G22="",J22=""),"-",-(1-(J22/G22)))</formula1>
    </dataValidation>
    <dataValidation type="custom" showInputMessage="1" showErrorMessage="1" sqref="K12:K13" xr:uid="{915A2970-63C6-40B3-BD5D-257C48265E51}">
      <formula1>IF(AND(G12="",J12=""),"-",SUM(G12:J12))</formula1>
    </dataValidation>
    <dataValidation type="decimal" operator="equal" showInputMessage="1" showErrorMessage="1" sqref="G128:I128 G30:I44" xr:uid="{D0DDB1C9-A6DF-417E-95CC-00F6AC02DF64}">
      <formula1>G30</formula1>
    </dataValidation>
    <dataValidation allowBlank="1" showInputMessage="1" showErrorMessage="1" promptTitle="Avertissement (si pertinent)" prompt="L'information C3 n'est pertinente que si l'entreprise s'est fixé des cibles de réduction des émissions de GES. " sqref="C52:K52" xr:uid="{DD25FA03-81D2-4B23-9132-31FCFE5C959B}"/>
    <dataValidation type="list" allowBlank="1" showInputMessage="1" showErrorMessage="1" sqref="D182:G182" xr:uid="{0E0C7A5D-97E5-4949-8297-28F3ED32330B}">
      <formula1>enum_ListYesNo</formula1>
    </dataValidation>
    <dataValidation type="list" operator="equal" allowBlank="1" showInputMessage="1" showErrorMessage="1" promptTitle="Avertissement" prompt="L'information C3 n'est pertinente que si l'entreprise s'est fixé des cibles de réduction des émissions de GES. Dans ce cas, indiquez l'année cible dans cette cellule." sqref="J21" xr:uid="{43DD04F0-09A4-43A5-9384-4793FDFC7556}">
      <formula1>enum_ListOfFutureYears</formula1>
    </dataValidation>
    <dataValidation type="list" operator="equal" allowBlank="1" showInputMessage="1" showErrorMessage="1" promptTitle="Avertissement (si pertinent)" prompt="L'information C3 n'est pertinente que si l'entreprise s'est fixé des cibles de réduction des émissions de GES. Dans ce cas, indiquez l'année de référence dans cette cellule." sqref="G21:I21" xr:uid="{16F8FE01-CA83-4EF1-BAFC-2D9ABE2790BD}">
      <formula1>enum_ListOfPastYears</formula1>
    </dataValidation>
    <dataValidation type="decimal" operator="lessThanOrEqual" allowBlank="1" showInputMessage="1" showErrorMessage="1" sqref="D170" xr:uid="{307FEF83-D4F1-491C-ACF9-C51B8CC5FF7C}">
      <formula1>D169</formula1>
    </dataValidation>
    <dataValidation type="decimal" operator="greaterThanOrEqual" allowBlank="1" showInputMessage="1" showErrorMessage="1" sqref="D169" xr:uid="{9D83E98F-5DAC-4E06-8F35-7C9E1FB185F5}">
      <formula1>D170</formula1>
    </dataValidation>
    <dataValidation type="decimal" operator="equal" showInputMessage="1" showErrorMessage="1" promptTitle="Avertissement" prompt="La formule dans cette cellule peut être effacée si l'entreprise souhaite saisir directement la valeur." sqref="J14" xr:uid="{36F88BA9-B536-466F-993A-FC93940593F6}">
      <formula1>J14</formula1>
    </dataValidation>
    <dataValidation type="decimal" operator="equal" showInputMessage="1" showErrorMessage="1" promptTitle="Avertissement" prompt="La formule dans cette cellule peut être effacée si l'entreprise souhaite saisir directement la valeur. " sqref="G14:I14" xr:uid="{415D9DFF-C7CD-47D6-8D34-B59A500BC77E}">
      <formula1>G14</formula1>
    </dataValidation>
    <dataValidation type="decimal" operator="lessThanOrEqual" showInputMessage="1" showErrorMessage="1" sqref="G5:K5" xr:uid="{5889F029-3147-4EC0-81A4-7827C5286256}">
      <formula1>G5</formula1>
    </dataValidation>
    <dataValidation allowBlank="1" showInputMessage="1" showErrorMessage="1" promptTitle="Avertissement [si pertinent]" prompt="Cette information n'est pertinente que si l'entreprise a identifié des aléas liés au changement climatique et des événements liés à la transition climatique qui entraînent pour elle des risques bruts." sqref="E240:K240 E236:K238" xr:uid="{55E1FFCF-9B14-4D16-B7C4-B9A9F7B3C86C}"/>
    <dataValidation type="decimal" operator="equal" allowBlank="1" showInputMessage="1" showErrorMessage="1" promptTitle="Avertissement" prompt="Les entreprises peuvent également vouloir communiquer leurs émissions du périmètre 2 fondées sur le marché." sqref="D24:F24" xr:uid="{278F36D2-FE5D-485D-944D-1C43BE99BE1F}">
      <formula1>D24</formula1>
    </dataValidation>
    <dataValidation type="list" allowBlank="1" showInputMessage="1" showErrorMessage="1" sqref="C78:K78 G204:I204" xr:uid="{5B875B97-80A9-43A1-9D24-28F77F207359}">
      <formula1>enum_ListUnitMeasurement_mass_only</formula1>
    </dataValidation>
    <dataValidation type="list" allowBlank="1" showInputMessage="1" showErrorMessage="1" sqref="G189:I203" xr:uid="{468FA835-924F-4099-92AB-F4A9369DDA2E}">
      <formula1>enum_ListUnitMeasurement</formula1>
    </dataValidation>
    <dataValidation type="custom" showInputMessage="1" showErrorMessage="1" sqref="G10:K10 G29 J19 G75:K75 D56:K56 G124:K124 G214:J214 E235:K235 D175" xr:uid="{79B3037F-99D1-4D80-AEDA-79DAE4CA8778}">
      <formula1>OR(D10=TRUE,D10=FALSE)</formula1>
    </dataValidation>
    <dataValidation allowBlank="1" showInputMessage="1" showErrorMessage="1" promptTitle="Avertissement" prompt="Les secteurs à fort impact climatique sont ceux énumérés dans les sections A à H et la section L de la nomenclature NACE, telle que définie à l'annexe I du règlement (CE) n° 1893/2006._x000a_" sqref="C56" xr:uid="{552F652E-CB42-4A72-9085-99DB9DDF4FA5}"/>
    <dataValidation type="list" allowBlank="1" showInputMessage="1" showErrorMessage="1" sqref="D57:K57" xr:uid="{DD16DCD3-9948-4FCF-82A3-38FD54885DEB}">
      <formula1>enum_ImplementationStatus</formula1>
    </dataValidation>
    <dataValidation allowBlank="1" showInputMessage="1" showErrorMessage="1" promptTitle="GHG intensity location based" prompt="total GHG emissions location based / turnover" sqref="C66:F66 C68:F68" xr:uid="{3D30DB62-CBD1-4832-B529-C45860071600}"/>
    <dataValidation allowBlank="1" showInputMessage="1" showErrorMessage="1" promptTitle="GHG intensity market based" prompt="total GHG emissions market based / turnover" sqref="C67:F67 C69:F69" xr:uid="{6C5EBFD2-F3E6-457C-89FE-287DD4F6CFBB}"/>
    <dataValidation allowBlank="1" showInputMessage="1" showErrorMessage="1" promptTitle="Formule" prompt="Consommation d'eau = prélèvements d'eau - rejets d'eau des processus de production de l'entreprise" sqref="C177" xr:uid="{273E5F27-9CA2-4255-9DDB-A8BFDBFD4525}"/>
    <dataValidation type="decimal" operator="lessThanOrEqual" showInputMessage="1" showErrorMessage="1" promptTitle="Avertissement (si pertinent)" prompt="L'information C3 n'est pertinente que si l'entreprise s'est fixé des cibles de réduction des émissions de GES. Dans ce cas, indiquez l'année cible dans cette cellule." sqref="J22:J24" xr:uid="{56611176-B94D-46AB-9FE2-3BBE997D250F}">
      <formula1>G22</formula1>
    </dataValidation>
    <dataValidation type="decimal" operator="equal" allowBlank="1" showInputMessage="1" showErrorMessage="1" promptTitle="Avertissement (si pertinent)" prompt="L'information C3 n'est pertinente que si l'entreprise s'est fixé des cibles de réduction des émissions de GES. Dans ce cas, indiquez l'année de référence dans cette cellule." sqref="G24:I24" xr:uid="{662643CF-3B64-43C7-833E-8ECBCA45298C}">
      <formula1>G24</formula1>
    </dataValidation>
    <dataValidation type="custom" showInputMessage="1" showErrorMessage="1" sqref="D25:J25" xr:uid="{872D81DA-BAD6-4809-89DD-0C9EF998EEDF}">
      <formula1>IF(AND(D22="",D23=""),"-",SUM(D22,D23))</formula1>
    </dataValidation>
    <dataValidation type="custom" showInputMessage="1" showErrorMessage="1" sqref="D26:J26" xr:uid="{7A443401-04C0-405E-8E6F-6079A18DA311}">
      <formula1>IF(OR(D22="",D24=""),"-",SUM(D22,D24))</formula1>
    </dataValidation>
    <dataValidation type="list" allowBlank="1" showInputMessage="1" showErrorMessage="1" promptTitle="Avertissement [si pertinent]" prompt="Cette information n'est pertinente que si l'entreprise a identifié des aléas liés au changement climatique et des événements liés à la transition climatique qui entraînent pour elle des risques bruts." sqref="E239:K239" xr:uid="{9D070DC5-C0D6-4E52-836F-9EAF2A648211}">
      <formula1>enum_ListYesNo</formula1>
    </dataValidation>
    <dataValidation type="list" allowBlank="1" showInputMessage="1" showErrorMessage="1" promptTitle="Value inconsistency" prompt="If a validation related to value inconsistency is displayed, please select a site ID that is different from one of those previously selected." sqref="C131:C153" xr:uid="{1F4C2619-5EB1-4404-A206-97996D90405F}">
      <formula1>IdentifierOfSiteTypedAxis</formula1>
    </dataValidation>
    <dataValidation type="custom" allowBlank="1" showInputMessage="1" showErrorMessage="1" sqref="K30:K47" xr:uid="{5C9C1647-5771-45C5-B90A-9E87FA9B94F0}">
      <formula1>IF(AND(G30="-",J30="-"),"-",-(1-(J30/G30)))</formula1>
    </dataValidation>
    <dataValidation type="decimal" operator="equal" allowBlank="1" showInputMessage="1" showErrorMessage="1" promptTitle="Avertissement" prompt="Les catégories du périmètre 3 définies par le protocole des GES peuvent aider l'entreprise à calculer ses émissions totales de GES du périmètre 3.  Si elle le souhaite, l'entreprise peut indiquer directement ce total dans la cellule correspondante." sqref="D44:F44 D32:F32 D36:F36 D38:F39 D41:F42" xr:uid="{845C10D6-495A-4B74-B880-717DFBE480E3}">
      <formula1>D32</formula1>
    </dataValidation>
    <dataValidation type="custom" showInputMessage="1" showErrorMessage="1" sqref="D46:F46" xr:uid="{44F45501-5837-46C3-96B1-E4222DA4C3C6}">
      <formula1>IF(G29=FALSE, "-", IF(AND(D22="", D23="", D45=""), "-", IF(SUM(D22, D23, D45)=0, "-", SUM(D22, D23, D45))))</formula1>
    </dataValidation>
    <dataValidation type="custom" showInputMessage="1" showErrorMessage="1" sqref="D47:F47" xr:uid="{E4B2B9D1-B383-4B4F-B790-D64C7B78A755}">
      <formula1>IF(G29=FALSE,"-",IF(OR(D22="",D24="",D45=""),"-",SUM(D22,D24,D45)))</formula1>
    </dataValidation>
    <dataValidation type="custom" showInputMessage="1" showErrorMessage="1" sqref="G46:I46" xr:uid="{0751A80F-F799-486B-8A58-C1479490F9B3}">
      <formula1>IF(G29=FALSE, "-", IF(AND(G22="", G23="", G45=""), "-", IF(SUM(G22, G23, G45)=0, "-", SUM(G22, G23, G45))))</formula1>
    </dataValidation>
    <dataValidation type="custom" showInputMessage="1" showErrorMessage="1" sqref="J46" xr:uid="{E43EE622-6D1B-413F-AB34-081C8173F6D4}">
      <formula1>IF(G29=FALSE, "-", IF(AND(J22="", J23="", J45=""), "-", IF(SUM(J22, J23, J45)=0, "-", SUM(J22, J23, J45))))</formula1>
    </dataValidation>
    <dataValidation type="decimal" operator="equal" allowBlank="1" showInputMessage="1" showErrorMessage="1" prompt="Si aucun déchet n'est orienté vers le recyclage ou la réutilisation, insérez la valeur &quot;0&quot;." sqref="J189" xr:uid="{37F9C07D-2A38-4B8B-A4A5-C6129B6AD9F1}">
      <formula1>J189</formula1>
    </dataValidation>
    <dataValidation type="decimal" operator="equal" allowBlank="1" showInputMessage="1" showErrorMessage="1" prompt="Si aucun déchet n'est éliminé, insérez la valeur &quot;0&quot;." sqref="K189" xr:uid="{745EB077-1D9D-40A6-9DDA-30809CF3F70C}">
      <formula1>K189</formula1>
    </dataValidation>
    <dataValidation type="custom" showInputMessage="1" showErrorMessage="1" sqref="J128:J153" xr:uid="{59814BE8-8296-41E6-93BC-6FEFD17DA5F5}">
      <formula1>IF(K128=TRUE,FALSE,TRUE)</formula1>
    </dataValidation>
    <dataValidation type="custom" showInputMessage="1" showErrorMessage="1" sqref="K128:K153" xr:uid="{88A1E46D-E83C-4E9F-A0DE-55C292A1A46D}">
      <formula1>IF(J128=TRUE,FALSE,TRUE)</formula1>
    </dataValidation>
    <dataValidation type="custom" allowBlank="1" showInputMessage="1" showErrorMessage="1" sqref="G74:K74" xr:uid="{6E2338D0-2F0D-4D0A-B4CA-1A58E7B2BF06}">
      <formula1>OR(G74=TRUE,G74=FALSE)</formula1>
    </dataValidation>
    <dataValidation type="list" allowBlank="1" showInputMessage="1" showErrorMessage="1" sqref="D80:F119" xr:uid="{F72FC679-E517-46A1-8346-75FC58B90566}">
      <formula1>enum_ListPollutants</formula1>
    </dataValidation>
    <dataValidation type="decimal" operator="lessThanOrEqual" allowBlank="1" showInputMessage="1" showErrorMessage="1" sqref="D176" xr:uid="{C9BF1CFC-1624-433F-AC79-2FA2FCF246EA}">
      <formula1>D169</formula1>
    </dataValidation>
    <dataValidation type="decimal" operator="lessThanOrEqual" showInputMessage="1" showErrorMessage="1" sqref="J30:J44" xr:uid="{093AA76F-D495-49C8-942A-2E53E719D770}">
      <formula1>G30</formula1>
    </dataValidation>
    <dataValidation type="list" allowBlank="1" showInputMessage="1" showErrorMessage="1" sqref="I59:K59" xr:uid="{A2F67FB3-8D80-44E5-B4D9-38272DD5BBE5}">
      <formula1>enum_ListOfFutureYears</formula1>
    </dataValidation>
    <dataValidation type="list" allowBlank="1" showInputMessage="1" showErrorMessage="1" sqref="I60:K60" xr:uid="{3AB71E39-AEC7-4282-98CD-7DD433B069AA}">
      <formula1>enum_ListMonth</formula1>
    </dataValidation>
    <dataValidation type="list" allowBlank="1" showInputMessage="1" showErrorMessage="1" sqref="I61:K61" xr:uid="{DD05FCA5-8F67-490C-B21F-4D0482E1FD75}">
      <formula1>enum_ListDays</formula1>
    </dataValidation>
    <dataValidation type="decimal" operator="equal" allowBlank="1" showInputMessage="1" showErrorMessage="1" promptTitle="Avertissement (si pertinent)" prompt="Cette information n'est pertinente que si l'entreprise est tenue de la fournir en vertu de la législation ou de réglementations nationales, ou si elle la fournit volontairement dans le cadre d'un système de management environnemental." sqref="G80:I80" xr:uid="{F21C9D86-835E-48A9-BC20-B99E3150DE45}">
      <formula1>G80</formula1>
    </dataValidation>
    <dataValidation type="list" allowBlank="1" showInputMessage="1" showErrorMessage="1" promptTitle="Avertissement [si pertinent]" prompt="Cette information n'est pertinente que si l'entreprise opère dans un secteur utilisant des flux de matières importants (fabrication, construction, emballage ou autres)." sqref="J217:J218 J216" xr:uid="{B961F7A1-F8E6-4219-8BC4-6DC53A3B838B}">
      <formula1>enum_ListUnitMeasurement</formula1>
    </dataValidation>
    <dataValidation type="decimal" operator="equal" allowBlank="1" showInputMessage="1" showErrorMessage="1" promptTitle="Avertissement" prompt="Insérer uniquement des chiffres, pas de lettres ni de caractères spéciaux." sqref="D22:F23" xr:uid="{B3D225B6-8BC5-4ACE-A06E-ADC589AA02E8}">
      <formula1>D22</formula1>
    </dataValidation>
    <dataValidation type="decimal" operator="greaterThanOrEqual" allowBlank="1" showInputMessage="1" showErrorMessage="1" promptTitle="Avertissement (si pertinent)" prompt="L'information C3 n'est pertinente que si l'entreprise s'est fixé des cibles de réduction des émissions de GES. Dans ce cas, indiquez l'année de référence dans cette cellule." sqref="G22:I22" xr:uid="{E64E430F-2E49-4637-82AD-4F5E99E65FF4}">
      <formula1>J22</formula1>
    </dataValidation>
    <dataValidation type="decimal" operator="equal" allowBlank="1" showInputMessage="1" showErrorMessage="1" promptTitle="Avertissement (si pertinent)" prompt="L'information C3 n'est pertinente que si l'entreprise s'est fixé des cibles de réduction des émissions de GES. Dans ce cas, indiquez l'année de référence dans cette cellule._x000a_" sqref="G23:I23" xr:uid="{F8D596F6-47B5-444D-8AF4-164E951B432E}">
      <formula1>G23</formula1>
    </dataValidation>
    <dataValidation type="list" allowBlank="1" showInputMessage="1" showErrorMessage="1" promptTitle="Valeur non conforme" prompt="Si le message VALEUR NON CONFORME s'affiche, sélectionnez un ID de site différent de celui sélectionné précédemment." sqref="C128:C130" xr:uid="{10BD6676-A35C-49CC-9FFB-1060CD0E43F0}">
      <formula1>IdentifierOfSiteTypedAxis</formula1>
    </dataValidation>
    <dataValidation type="list" allowBlank="1" showInputMessage="1" showErrorMessage="1" promptTitle="Avertissement" prompt="Veuillez sélectionner un type de déchets (dangereux/non dangereux) plutôt qu'une catégorie ; à défaut, le message ERREUR apparaîtra." sqref="D189:F190 D191:F191 D192:F192 D193:F193 D194:F194 D195:F195 D197:F197 D196:F196 D198:F198 D199:F199 D200:F200 D201:F201 D202:F202 D203:F203" xr:uid="{51AA3EBB-3E14-4326-BE9C-76CFCD761DFD}">
      <formula1>enum_ListTypeOfWastes</formula1>
    </dataValidation>
    <dataValidation allowBlank="1" showInputMessage="1" showErrorMessage="1" promptTitle="Avertissement (si pertinent)" prompt="Cette information n'est pertinente que si l'entreprise opère dans un secteur utilisant des flux de matières importants (fabrication, construction, emballage ou autres)." sqref="D216:F216" xr:uid="{6A4FD9F5-B79C-40FC-B6A7-AC77B37564B2}"/>
    <dataValidation allowBlank="1" showInputMessage="1" showErrorMessage="1" promptTitle="Lignes supplémentaires" prompt="La liste peut être développée en cliquant sur le bouton [+] à gauche. Si le nombre de lignes est insuffisant, faites un clic droit sur la 2ème ligne et sélectionnez &quot;Insérer une ligne entière&quot;." sqref="D218:F218" xr:uid="{EDF8FD76-010D-4D0B-B7AC-CE4452084141}"/>
    <dataValidation type="decimal" operator="equal" allowBlank="1" showInputMessage="1" showErrorMessage="1" promptTitle="Avertissement" prompt="Les catégories du périmètre 3 définies par le protocole des GES peuvent aider l'entreprise à calculer ses émissions totales de GES du périmètre 3. Si elle le souhaite, l'entreprise peut indiquer directement ce total dans la cellule correspondante." sqref="D30:F30 D31:F31 D33:F33 D34:F34 D37:F37 D40:F40 D43:F43" xr:uid="{6C03F5BD-E9CD-4825-81F1-24CCB9FD457E}">
      <formula1>D30</formula1>
    </dataValidation>
    <dataValidation type="decimal" operator="equal" allowBlank="1" showInputMessage="1" showErrorMessage="1" promptTitle="Avertissement" prompt="Les catégories du périmètre 3 définies par le protocole des GES peuvent aider l'entreprise à calculer ses émissions totales de GES du périmètre 3.  Si elle le souhaite, l'entreprise peut indiquer directement ce total dans la cellule correspondante.e." sqref="D35:F35" xr:uid="{DB5C0A47-0CE7-4B73-8D21-168496C00608}">
      <formula1>D35</formula1>
    </dataValidation>
    <dataValidation type="list" allowBlank="1" showInputMessage="1" showErrorMessage="1" promptTitle="Avertissement (si pertinent)" prompt="Cette information n'est pertinente que si l'entreprise opère dans un secteur utilisant des flux de matières importants (fabrication, construction, emballage ou autres)." sqref="J219 J220 J221 J222 J223 J224 J225 J226 J227 J228 J229 J230" xr:uid="{781BD929-5B6D-4611-8136-BB0D48ECCBD5}">
      <formula1>enum_ListUnitMeasurement</formula1>
    </dataValidation>
  </dataValidations>
  <hyperlinks>
    <hyperlink ref="C3" r:id="rId1" location="id-69" display="https://xbrl.efrag.org/e-esrs/2024-12-17-efrag-vsme.xhtml - id-69" xr:uid="{A785C4AD-0B95-4DFF-8E0F-42C6AA2490C1}"/>
    <hyperlink ref="C4" r:id="rId2" location="id-182" xr:uid="{6E69B136-F254-47B7-B50D-A93C8C0EB4AB}"/>
    <hyperlink ref="C50" r:id="rId3" location="id-117" xr:uid="{F4FBEC3B-EB83-4C2E-BF21-170D8E8EC19A}"/>
    <hyperlink ref="C51" r:id="rId4" location="id-407" display="https://xbrl.efrag.org/e-esrs/2024-12-17-efrag-vsme.xhtml - id-407" xr:uid="{638437FC-4D75-49FF-9726-757B299FE400}"/>
    <hyperlink ref="G17" r:id="rId5" location="id-118" display="Paragraph 54(b)" xr:uid="{6244A818-EC4F-48E7-AC84-5301360C89F9}"/>
    <hyperlink ref="J17" r:id="rId6" location="id-117" xr:uid="{E32722CC-268A-4C7E-9180-338FD28E0511}"/>
    <hyperlink ref="D18" r:id="rId7" location="id-196" xr:uid="{4DC839D1-20DB-4E09-B7A5-D0A0BC9CEA23}"/>
    <hyperlink ref="G18" r:id="rId8" location="id-400" xr:uid="{E3D76769-85A8-4F19-A90F-D66D27110333}"/>
    <hyperlink ref="D28" r:id="rId9" location="id-398" xr:uid="{9B118876-E4AD-4C1B-AAE8-97DB029124EE}"/>
    <hyperlink ref="C72" r:id="rId10" location="id-74" display="https://xbrl.efrag.org/e-esrs/2024-12-17-efrag-vsme.xhtml - id-74" xr:uid="{54D7F3A9-797B-42E9-80BE-327193BDEABC}"/>
    <hyperlink ref="C73" r:id="rId11" location="id-236" xr:uid="{190D4415-42A4-4D43-B287-B72DD914B8A3}"/>
    <hyperlink ref="C156" r:id="rId12" location="id-76" display="https://xbrl.efrag.org/e-esrs/2024-12-17-efrag-vsme.xhtml - id-76" xr:uid="{2B618F2F-2DC0-4B63-9CF0-7E12FA147AFC}"/>
    <hyperlink ref="C180" r:id="rId13" location="id-83" display="https://xbrl.efrag.org/e-esrs/2024-12-17-efrag-vsme.xhtml - id-83" xr:uid="{323BFE79-70EB-4CE2-B9C3-91002A40B67F}"/>
    <hyperlink ref="C186" r:id="rId14" location="id-85" xr:uid="{34774E4F-7D92-4F86-BA01-3E69B542A9F0}"/>
    <hyperlink ref="C157" r:id="rId15" location="id-264" xr:uid="{DE71F164-3008-4FB9-8EB2-54AB4ECA1636}"/>
    <hyperlink ref="C181" r:id="rId16" location="id-290" display="https://xbrl.efrag.org/e-esrs/2024-12-17-efrag-vsme.xhtml - id-290" xr:uid="{4787EE6B-65DD-4D37-9003-F57D95D7C3E3}"/>
    <hyperlink ref="C187" r:id="rId17" location="id-291" xr:uid="{303B2981-FEC6-4744-9300-EA413929D31B}"/>
    <hyperlink ref="A236" r:id="rId18" location="id-125" xr:uid="{CE1E6101-0E49-497A-B96E-9AA552B3DA6C}"/>
    <hyperlink ref="A237" r:id="rId19" location="id-126" xr:uid="{D6097D81-5D35-4F54-B57E-EE02A65BAB6D}"/>
    <hyperlink ref="A238" r:id="rId20" location="id-127" xr:uid="{7D374740-6DC7-48F4-A99B-089AC209753B}"/>
    <hyperlink ref="A239" r:id="rId21" location="id-128" xr:uid="{150D4BD8-5DE5-4581-8DAE-4C82C7A62056}"/>
    <hyperlink ref="A240" r:id="rId22" location="id-129" display="https://xbrl.efrag.org/e-esrs/2024-12-17-efrag-vsme.xhtml - id-129" xr:uid="{EC797813-6429-4DF9-9AA7-E7EF9CEF1CEF}"/>
    <hyperlink ref="B236" r:id="rId23" location="id-412" xr:uid="{13F06C86-825D-430E-ABF7-7903D099B2C8}"/>
    <hyperlink ref="B237" r:id="rId24" location="id-412" xr:uid="{010447D3-AC5E-4B7E-8124-99EBFB24694A}"/>
    <hyperlink ref="B238" r:id="rId25" location="id-412" xr:uid="{1BF7775F-EE93-40E3-BE40-E7CB86B6E18B}"/>
    <hyperlink ref="B239" r:id="rId26" location="id-412" xr:uid="{ED989A51-4831-4C63-9583-1A2B7AE37E56}"/>
    <hyperlink ref="B240" r:id="rId27" location="id-412" xr:uid="{E6095D72-D3C5-48D2-B372-DE4F6E3A3DC8}"/>
    <hyperlink ref="C122" r:id="rId28" location="id-75" display="https://xbrl.efrag.org/e-esrs/2024-12-17-efrag-vsme.xhtml - id-75" xr:uid="{477C8E1D-8E11-49EC-A489-12E70C4FFE67}"/>
    <hyperlink ref="C123" r:id="rId29" location="id-260" xr:uid="{79B9B2C7-556F-4990-B4AB-2754EB7A61A1}"/>
    <hyperlink ref="C212" r:id="rId30" location="id-87" xr:uid="{6BE3DB22-1314-4A4E-8418-B1701C7E0A19}"/>
    <hyperlink ref="C213" r:id="rId31" location="id-353" xr:uid="{6218306B-0419-442B-876E-2B32619A0D96}"/>
    <hyperlink ref="C65" r:id="rId32" location="id-73" display="https://xbrl.efrag.org/e-esrs/2024-12-17-efrag-vsme.xhtml - id-73" xr:uid="{1F3ACB44-AE6B-4E80-908F-73BEA496FD95}"/>
    <hyperlink ref="C243" r:id="rId33" location="id-30" display="https://xbrl.efrag.org/e-esrs/2024-12-17-efrag-vsme.xhtml - id-30" xr:uid="{8191E0B1-15FD-4663-A70D-17A84E710C3E}"/>
    <hyperlink ref="C167" r:id="rId34" location="id-81" display="https://xbrl.efrag.org/e-esrs/2024-12-17-efrag-vsme.xhtml - id-81" xr:uid="{50BA1BA2-81A0-434C-BE2B-6B94DE19A97B}"/>
    <hyperlink ref="C168" r:id="rId35" location="id-287" xr:uid="{C3E10B43-4D88-4B0F-993A-7DC6D4C5CC2C}"/>
    <hyperlink ref="C173" r:id="rId36" location="id-81" display="35-36" xr:uid="{9EB17F31-FED5-4A9A-843D-A89DC4708454}"/>
    <hyperlink ref="C174" r:id="rId37" location="id-268" xr:uid="{62AC2A99-3F34-4CBE-BDAF-11563855801F}"/>
    <hyperlink ref="C17:D17" r:id="rId38" location="id-70" display="https://xbrl.efrag.org/e-esrs/2024-12-17-efrag-vsme.xhtml - id-70" xr:uid="{365B931A-E911-46E5-8026-EF90DCBF85DB}"/>
    <hyperlink ref="C27:D27" r:id="rId39" location="id-112" display="50-53" xr:uid="{3DBD1A28-DC3E-40DC-9509-EA926F607751}"/>
    <hyperlink ref="J18" r:id="rId40" location="id-400" xr:uid="{0ABBAA9C-B0D1-4D7C-9925-9696EA01191B}"/>
    <hyperlink ref="G27:J27" r:id="rId41" location="id-116" display="https://xbrl.efrag.org/e-esrs/2024-12-17-efrag-vsme.xhtml - id-116" xr:uid="{FA2393F6-873E-45A0-B6D3-FA6AD5E1230A}"/>
    <hyperlink ref="A57" r:id="rId42" location="id-122" display="https://xbrl.efrag.org/e-esrs/2024-12-17-efrag-vsme.xhtml - id-122" xr:uid="{3181BB00-C9E7-4350-BD90-943511000DD8}"/>
    <hyperlink ref="A59" r:id="rId43" location="id-123" display="https://xbrl.efrag.org/e-esrs/2024-12-17-efrag-vsme.xhtml - id-123" xr:uid="{5155F932-F89F-44F2-BA89-74CDEA4817F0}"/>
    <hyperlink ref="A58" r:id="rId44" location="id-122" display="https://xbrl.efrag.org/e-esrs/2024-12-17-efrag-vsme.xhtml - id-122" xr:uid="{DB5015C1-4B7C-4737-A0AE-1349B97728FC}"/>
    <hyperlink ref="C8" r:id="rId45" location="id-69" display="https://xbrl.efrag.org/e-esrs/2024-12-17-efrag-vsme.xhtml - id-69" xr:uid="{02A9865E-C8EF-4966-9AE8-B0590008D0FF}"/>
    <hyperlink ref="C9" r:id="rId46" location="id-182" xr:uid="{029124E6-E37E-4A98-93EE-BBDACB0FCB2C}"/>
    <hyperlink ref="A56" r:id="rId47" location="id-122" display="https://xbrl.efrag.org/e-esrs/2024-12-17-efrag-vsme.xhtml - id-122" xr:uid="{23B02246-8F88-4A95-9887-8E8471F2E145}"/>
    <hyperlink ref="B56" r:id="rId48" location="id-408" xr:uid="{9F22D8E3-2E8E-40D0-AC4E-03DD91E3F81F}"/>
    <hyperlink ref="C173:D173" r:id="rId49" location="id-82" display="https://xbrl.efrag.org/e-esrs/2024-12-17-efrag-vsme.xhtml - id-82" xr:uid="{08D12C5F-C868-4CDA-BEBA-B676529CB904}"/>
    <hyperlink ref="C14:F14" location="template_FUEL_CONVERTER" display="Fuels (see Fuel Converter on Fuels worksheet)" xr:uid="{A029E2CF-74B8-43AA-80AE-64A2E02A3995}"/>
    <hyperlink ref="K18" r:id="rId50" location="id-400" xr:uid="{0BF03DAE-C5A3-44DA-BFFE-62B915B319D5}"/>
    <hyperlink ref="K17" r:id="rId51" location="id-120" display="Paragraph 54(d) " xr:uid="{80C232F7-EF01-47F1-B37B-B9465DA971AE}"/>
  </hyperlinks>
  <pageMargins left="0.7" right="0.7" top="0.75" bottom="0.75" header="0.3" footer="0.3"/>
  <pageSetup orientation="portrait" r:id="rId52"/>
  <drawing r:id="rId5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49B14-26A1-417D-A9CD-577098931573}">
  <sheetPr codeName="Sheet5"/>
  <dimension ref="A1:BZ218"/>
  <sheetViews>
    <sheetView topLeftCell="D1" zoomScale="115" zoomScaleNormal="115" workbookViewId="0">
      <selection activeCell="C38" sqref="C38:H38"/>
    </sheetView>
  </sheetViews>
  <sheetFormatPr baseColWidth="10" defaultColWidth="9" defaultRowHeight="14.5" x14ac:dyDescent="0.35"/>
  <cols>
    <col min="1" max="1" width="19.81640625" customWidth="1"/>
    <col min="2" max="2" width="16.26953125" customWidth="1"/>
    <col min="3" max="3" width="33.453125" customWidth="1"/>
    <col min="5" max="5" width="14.453125" customWidth="1"/>
    <col min="7" max="7" width="24.36328125" customWidth="1"/>
    <col min="8" max="8" width="38.453125" customWidth="1"/>
    <col min="9" max="9" width="15.453125" style="13" customWidth="1"/>
    <col min="10" max="10" width="16.453125" style="8" customWidth="1"/>
    <col min="11" max="17" width="8.453125" style="8"/>
    <col min="18" max="78" width="8.54296875" style="8"/>
  </cols>
  <sheetData>
    <row r="1" spans="1:9" ht="44" thickBot="1" x14ac:dyDescent="0.4">
      <c r="A1" s="264" t="s">
        <v>4090</v>
      </c>
      <c r="B1" s="264" t="s">
        <v>4091</v>
      </c>
      <c r="C1" s="8"/>
      <c r="D1" s="8"/>
      <c r="E1" s="8"/>
      <c r="F1" s="8"/>
      <c r="G1" s="8"/>
      <c r="H1" s="8"/>
    </row>
    <row r="2" spans="1:9" x14ac:dyDescent="0.35">
      <c r="A2" s="8"/>
      <c r="B2" s="8"/>
      <c r="C2" s="586" t="str">
        <f xml:space="preserve"> "B11 – Condamnations et amendes en matière de lutte contre la corruption et les actes de corruption "&amp; template_reporting_period_display &amp; " [si pertinent]"</f>
        <v>B11 – Condamnations et amendes en matière de lutte contre la corruption et les actes de corruption du - au - [si pertinent]</v>
      </c>
      <c r="D2" s="587"/>
      <c r="E2" s="587"/>
      <c r="F2" s="587"/>
      <c r="G2" s="587"/>
      <c r="H2" s="588"/>
    </row>
    <row r="3" spans="1:9" x14ac:dyDescent="0.35">
      <c r="A3" s="8"/>
      <c r="B3" s="8"/>
      <c r="C3" s="948">
        <v>43</v>
      </c>
      <c r="D3" s="949"/>
      <c r="E3" s="949"/>
      <c r="F3" s="949"/>
      <c r="G3" s="949"/>
      <c r="H3" s="950"/>
    </row>
    <row r="4" spans="1:9" x14ac:dyDescent="0.35">
      <c r="A4" s="8"/>
      <c r="B4" s="8"/>
      <c r="C4" s="951" t="s">
        <v>3966</v>
      </c>
      <c r="D4" s="917"/>
      <c r="E4" s="917"/>
      <c r="F4" s="917"/>
      <c r="G4" s="917"/>
      <c r="H4" s="952"/>
    </row>
    <row r="5" spans="1:9" s="8" customFormat="1" x14ac:dyDescent="0.35">
      <c r="C5" s="925" t="s">
        <v>4209</v>
      </c>
      <c r="D5" s="926"/>
      <c r="E5" s="926"/>
      <c r="F5" s="926"/>
      <c r="G5" s="926"/>
      <c r="H5" s="167" t="b">
        <v>0</v>
      </c>
      <c r="I5" s="13"/>
    </row>
    <row r="6" spans="1:9" s="8" customFormat="1" ht="27.75" customHeight="1" x14ac:dyDescent="0.35">
      <c r="C6" s="967" t="s">
        <v>4210</v>
      </c>
      <c r="D6" s="968"/>
      <c r="E6" s="968"/>
      <c r="F6" s="968"/>
      <c r="G6" s="969"/>
      <c r="H6" s="298"/>
      <c r="I6" s="13" t="str">
        <f>IF(AND($H$5=TRUE,H6&lt;&gt;""),"OK",IF(AND($H$5=TRUE,H6=""),"MISSING VALUE",""))</f>
        <v/>
      </c>
    </row>
    <row r="7" spans="1:9" s="8" customFormat="1" ht="27.75" customHeight="1" thickBot="1" x14ac:dyDescent="0.4">
      <c r="C7" s="970" t="str">
        <f>"Montant total des amendes pour infraction à la législation sur la lutte contre la corruption et les actes de corruption (montant monétaire) en " &amp;  template_currency</f>
        <v xml:space="preserve">Montant total des amendes pour infraction à la législation sur la lutte contre la corruption et les actes de corruption (montant monétaire) en </v>
      </c>
      <c r="D7" s="971"/>
      <c r="E7" s="971"/>
      <c r="F7" s="971"/>
      <c r="G7" s="972"/>
      <c r="H7" s="299"/>
      <c r="I7" s="13" t="str">
        <f>IF(AND($H$5=TRUE,H7&lt;&gt;""),"OK",IF(AND($H$5=TRUE,H7=""),"MISSING VALUE",""))</f>
        <v/>
      </c>
    </row>
    <row r="8" spans="1:9" s="8" customFormat="1" ht="15" thickBot="1" x14ac:dyDescent="0.4">
      <c r="I8" s="13"/>
    </row>
    <row r="9" spans="1:9" s="8" customFormat="1" x14ac:dyDescent="0.35">
      <c r="C9" s="840" t="str">
        <f xml:space="preserve"> "C8 – Recettes de certains secteurs  " &amp; template_reporting_period_display &amp; " [si pertinent]"</f>
        <v>C8 – Recettes de certains secteurs  du - au - [si pertinent]</v>
      </c>
      <c r="D9" s="943"/>
      <c r="E9" s="943"/>
      <c r="F9" s="943"/>
      <c r="G9" s="943"/>
      <c r="H9" s="944"/>
      <c r="I9" s="13"/>
    </row>
    <row r="10" spans="1:9" ht="28.15" customHeight="1" x14ac:dyDescent="0.35">
      <c r="A10" s="8"/>
      <c r="B10" s="8"/>
      <c r="C10" s="925" t="s">
        <v>4211</v>
      </c>
      <c r="D10" s="926"/>
      <c r="E10" s="926"/>
      <c r="F10" s="926"/>
      <c r="G10" s="926"/>
      <c r="H10" s="168" t="b">
        <v>0</v>
      </c>
    </row>
    <row r="11" spans="1:9" x14ac:dyDescent="0.35">
      <c r="A11" s="8"/>
      <c r="B11" s="8"/>
      <c r="C11" s="957"/>
      <c r="D11" s="958"/>
      <c r="E11" s="958"/>
      <c r="F11" s="958"/>
      <c r="G11" s="958"/>
      <c r="H11" s="33" t="str">
        <f xml:space="preserve"> "Montant monétaire en " &amp; template_currency</f>
        <v xml:space="preserve">Montant monétaire en </v>
      </c>
    </row>
    <row r="12" spans="1:9" s="8" customFormat="1" ht="32.5" customHeight="1" x14ac:dyDescent="0.35">
      <c r="A12" s="251" t="s">
        <v>3967</v>
      </c>
      <c r="B12" s="252" t="s">
        <v>3971</v>
      </c>
      <c r="C12" s="575" t="s">
        <v>4212</v>
      </c>
      <c r="D12" s="576"/>
      <c r="E12" s="576"/>
      <c r="F12" s="576"/>
      <c r="G12" s="576"/>
      <c r="H12" s="294"/>
      <c r="I12" s="929" t="str">
        <f>IF(AND(H10=FALSE,COUNTA(H12:H16)=0, H18=""),
    "",
    IF(AND(OR(COUNTA(H12:H16)&gt;0, H18&lt;&gt;""), SUM(H12:H16, H18)&lt;='Informations générales'!E61),
        "OK",
        IF(AND(H10=TRUE, COUNTA(H12:H16)=0, H18=""),
            "MISSING VALUE",
            "VALUE INCONSISTENCY"
        )
    )
)</f>
        <v/>
      </c>
    </row>
    <row r="13" spans="1:9" s="8" customFormat="1" ht="15" thickBot="1" x14ac:dyDescent="0.4">
      <c r="A13" s="251" t="s">
        <v>3968</v>
      </c>
      <c r="B13" s="252" t="s">
        <v>3971</v>
      </c>
      <c r="C13" s="645" t="s">
        <v>4213</v>
      </c>
      <c r="D13" s="811"/>
      <c r="E13" s="811"/>
      <c r="F13" s="811"/>
      <c r="G13" s="811"/>
      <c r="H13" s="295"/>
      <c r="I13" s="929"/>
    </row>
    <row r="14" spans="1:9" s="8" customFormat="1" x14ac:dyDescent="0.35">
      <c r="A14" s="261" t="s">
        <v>3969</v>
      </c>
      <c r="B14" s="252" t="s">
        <v>3971</v>
      </c>
      <c r="C14" s="931" t="s">
        <v>4214</v>
      </c>
      <c r="D14" s="932"/>
      <c r="E14" s="932"/>
      <c r="F14" s="932"/>
      <c r="G14" s="932"/>
      <c r="H14" s="296"/>
      <c r="I14" s="929"/>
    </row>
    <row r="15" spans="1:9" s="8" customFormat="1" x14ac:dyDescent="0.35">
      <c r="A15" s="261" t="s">
        <v>3969</v>
      </c>
      <c r="B15" s="252" t="s">
        <v>3971</v>
      </c>
      <c r="C15" s="575" t="s">
        <v>4215</v>
      </c>
      <c r="D15" s="576"/>
      <c r="E15" s="576"/>
      <c r="F15" s="576"/>
      <c r="G15" s="576"/>
      <c r="H15" s="294"/>
      <c r="I15" s="929"/>
    </row>
    <row r="16" spans="1:9" s="8" customFormat="1" x14ac:dyDescent="0.35">
      <c r="A16" s="261" t="s">
        <v>3969</v>
      </c>
      <c r="B16" s="252" t="s">
        <v>3971</v>
      </c>
      <c r="C16" s="575" t="s">
        <v>4216</v>
      </c>
      <c r="D16" s="576"/>
      <c r="E16" s="576"/>
      <c r="F16" s="576"/>
      <c r="G16" s="576"/>
      <c r="H16" s="294"/>
      <c r="I16" s="929"/>
    </row>
    <row r="17" spans="1:9" s="8" customFormat="1" ht="81" customHeight="1" thickBot="1" x14ac:dyDescent="0.4">
      <c r="A17" s="261" t="s">
        <v>3969</v>
      </c>
      <c r="B17" s="252" t="s">
        <v>3971</v>
      </c>
      <c r="C17" s="927" t="s">
        <v>4217</v>
      </c>
      <c r="D17" s="928"/>
      <c r="E17" s="928"/>
      <c r="F17" s="928"/>
      <c r="G17" s="928"/>
      <c r="H17" s="289" t="str">
        <f>IF(COUNTA(H14:H16)=0, "-", SUM(H14:H16))</f>
        <v>-</v>
      </c>
      <c r="I17" s="929"/>
    </row>
    <row r="18" spans="1:9" s="8" customFormat="1" ht="15" thickBot="1" x14ac:dyDescent="0.4">
      <c r="A18" s="251" t="s">
        <v>3970</v>
      </c>
      <c r="B18" s="252" t="s">
        <v>3971</v>
      </c>
      <c r="C18" s="647" t="s">
        <v>4218</v>
      </c>
      <c r="D18" s="956"/>
      <c r="E18" s="956"/>
      <c r="F18" s="956"/>
      <c r="G18" s="956"/>
      <c r="H18" s="297"/>
      <c r="I18" s="929"/>
    </row>
    <row r="19" spans="1:9" s="8" customFormat="1" ht="15" thickBot="1" x14ac:dyDescent="0.4">
      <c r="I19" s="13"/>
    </row>
    <row r="20" spans="1:9" s="8" customFormat="1" x14ac:dyDescent="0.35">
      <c r="B20" s="243"/>
      <c r="C20" s="840" t="str">
        <f xml:space="preserve"> "C8 – Exclusion des indices de référence de l'UE " &amp; template_reporting_period_display &amp; " [obligatoire]"</f>
        <v>C8 – Exclusion des indices de référence de l'UE du - au - [obligatoire]</v>
      </c>
      <c r="D20" s="943"/>
      <c r="E20" s="943"/>
      <c r="F20" s="943"/>
      <c r="G20" s="943"/>
      <c r="H20" s="944"/>
      <c r="I20" s="13"/>
    </row>
    <row r="21" spans="1:9" s="8" customFormat="1" x14ac:dyDescent="0.35">
      <c r="B21" s="244"/>
      <c r="C21" s="953" t="s">
        <v>4780</v>
      </c>
      <c r="D21" s="954"/>
      <c r="E21" s="954"/>
      <c r="F21" s="954"/>
      <c r="G21" s="954"/>
      <c r="H21" s="955"/>
      <c r="I21" s="13"/>
    </row>
    <row r="22" spans="1:9" s="8" customFormat="1" ht="30" customHeight="1" x14ac:dyDescent="0.35">
      <c r="A22" s="251">
        <v>64</v>
      </c>
      <c r="B22" s="251" t="s">
        <v>3972</v>
      </c>
      <c r="C22" s="959" t="s">
        <v>4219</v>
      </c>
      <c r="D22" s="959"/>
      <c r="E22" s="959"/>
      <c r="F22" s="959"/>
      <c r="G22" s="960"/>
      <c r="H22" s="169" t="b">
        <v>0</v>
      </c>
      <c r="I22" s="939" t="str">
        <f>IF(AND(OR(H22=TRUE, H23=TRUE, H24=TRUE, H25=TRUE), 'Informations générales'!E32="Option B (Basic Module and Comprehensive Module)"), "OK",
    IF(AND(H22=FALSE, H23=FALSE, H24=FALSE, H25=FALSE, H26=FALSE, 'Informations générales'!E32="Option B (Basic Module and Comprehensive Module)"), "MISSING VALUE",
    IF('Informations générales'!E32="Option A (Basic Module only)", "",
    IF(AND('Informations générales'!E32="Option B (Basic Module and Comprehensive Module)", H26=TRUE), "OK", ""))))</f>
        <v/>
      </c>
    </row>
    <row r="23" spans="1:9" s="8" customFormat="1" ht="27" customHeight="1" x14ac:dyDescent="0.35">
      <c r="A23" s="251">
        <v>64</v>
      </c>
      <c r="B23" s="251" t="s">
        <v>3973</v>
      </c>
      <c r="C23" s="961" t="s">
        <v>4220</v>
      </c>
      <c r="D23" s="961"/>
      <c r="E23" s="961"/>
      <c r="F23" s="961"/>
      <c r="G23" s="962"/>
      <c r="H23" s="170" t="b">
        <v>0</v>
      </c>
      <c r="I23" s="939"/>
    </row>
    <row r="24" spans="1:9" s="8" customFormat="1" ht="32.5" customHeight="1" x14ac:dyDescent="0.35">
      <c r="A24" s="251">
        <v>64</v>
      </c>
      <c r="B24" s="251" t="s">
        <v>3974</v>
      </c>
      <c r="C24" s="963" t="s">
        <v>4221</v>
      </c>
      <c r="D24" s="963"/>
      <c r="E24" s="963"/>
      <c r="F24" s="963"/>
      <c r="G24" s="964"/>
      <c r="H24" s="170" t="b">
        <v>0</v>
      </c>
      <c r="I24" s="939"/>
    </row>
    <row r="25" spans="1:9" s="8" customFormat="1" ht="31.15" customHeight="1" thickBot="1" x14ac:dyDescent="0.4">
      <c r="A25" s="251">
        <v>64</v>
      </c>
      <c r="B25" s="251" t="s">
        <v>3975</v>
      </c>
      <c r="C25" s="965" t="s">
        <v>4222</v>
      </c>
      <c r="D25" s="965"/>
      <c r="E25" s="965"/>
      <c r="F25" s="965"/>
      <c r="G25" s="966"/>
      <c r="H25" s="171" t="b">
        <v>0</v>
      </c>
      <c r="I25" s="939"/>
    </row>
    <row r="26" spans="1:9" s="8" customFormat="1" ht="15" thickBot="1" x14ac:dyDescent="0.4">
      <c r="B26" s="243"/>
      <c r="C26" s="936" t="s">
        <v>4223</v>
      </c>
      <c r="D26" s="937"/>
      <c r="E26" s="937"/>
      <c r="F26" s="937"/>
      <c r="G26" s="938"/>
      <c r="H26" s="172" t="b">
        <v>0</v>
      </c>
      <c r="I26" s="939"/>
    </row>
    <row r="27" spans="1:9" s="8" customFormat="1" ht="15" thickBot="1" x14ac:dyDescent="0.4">
      <c r="A27" s="251">
        <v>64</v>
      </c>
      <c r="B27" s="262">
        <v>241</v>
      </c>
      <c r="C27" s="940" t="s">
        <v>4224</v>
      </c>
      <c r="D27" s="941"/>
      <c r="E27" s="941"/>
      <c r="F27" s="941"/>
      <c r="G27" s="942"/>
      <c r="H27" s="19" t="str">
        <f>IF(AND(OR(H22=TRUE, H23=TRUE, H24=TRUE, H25=TRUE), H26=FALSE), "OUI",
   IF(AND(OR(H22=TRUE, H23=TRUE, H24=TRUE, H25=TRUE), H26=TRUE), "Non pertinent",
   IF(AND(H22=FALSE, H23=FALSE, H24=FALSE, H25=FALSE, H26=TRUE), "NON",
   IF(AND(H22=FALSE, H23=FALSE, H24=FALSE, H25=FALSE, H26=FALSE), "-", ""))))</f>
        <v>-</v>
      </c>
      <c r="I27" s="13" t="str">
        <f>IF(H27=TRUE, "OK", "")</f>
        <v/>
      </c>
    </row>
    <row r="28" spans="1:9" s="8" customFormat="1" ht="15" thickBot="1" x14ac:dyDescent="0.4">
      <c r="I28" s="13"/>
    </row>
    <row r="29" spans="1:9" s="8" customFormat="1" x14ac:dyDescent="0.35">
      <c r="C29" s="945" t="str">
        <f>"C9 – Ratio femmes/hommes au sein de l'organe de gouvernance " &amp; template_ending_date_display &amp; "  [si pertinent]"</f>
        <v>C9 – Ratio femmes/hommes au sein de l'organe de gouvernance au -  [si pertinent]</v>
      </c>
      <c r="D29" s="946"/>
      <c r="E29" s="946"/>
      <c r="F29" s="946"/>
      <c r="G29" s="946"/>
      <c r="H29" s="947"/>
      <c r="I29" s="13"/>
    </row>
    <row r="30" spans="1:9" s="8" customFormat="1" x14ac:dyDescent="0.35">
      <c r="C30" s="925" t="s">
        <v>4225</v>
      </c>
      <c r="D30" s="926"/>
      <c r="E30" s="926"/>
      <c r="F30" s="926"/>
      <c r="G30" s="926"/>
      <c r="H30" s="168" t="b">
        <v>0</v>
      </c>
      <c r="I30" s="13"/>
    </row>
    <row r="31" spans="1:9" s="8" customFormat="1" x14ac:dyDescent="0.35">
      <c r="A31" s="917">
        <v>65</v>
      </c>
      <c r="B31" s="920" t="s">
        <v>3976</v>
      </c>
      <c r="C31" s="925" t="s">
        <v>4226</v>
      </c>
      <c r="D31" s="926"/>
      <c r="E31" s="926"/>
      <c r="F31" s="926"/>
      <c r="G31" s="926"/>
      <c r="H31" s="294"/>
      <c r="I31" s="13" t="str">
        <f>IF(AND($H$30=TRUE,H31&lt;&gt;""),"OK",IF(AND($H$30=TRUE,H31=""),"MISSING VALUE",""))</f>
        <v/>
      </c>
    </row>
    <row r="32" spans="1:9" s="8" customFormat="1" x14ac:dyDescent="0.35">
      <c r="A32" s="918"/>
      <c r="B32" s="921"/>
      <c r="C32" s="925" t="s">
        <v>4227</v>
      </c>
      <c r="D32" s="926"/>
      <c r="E32" s="926"/>
      <c r="F32" s="926"/>
      <c r="G32" s="926"/>
      <c r="H32" s="294"/>
      <c r="I32" s="13" t="str">
        <f>IF(AND($H$30=TRUE,H32&lt;&gt;""),"OK",IF(AND($H$30=TRUE,H32=""),"MISSING VALUE",""))</f>
        <v/>
      </c>
    </row>
    <row r="33" spans="1:9" s="8" customFormat="1" ht="15" thickBot="1" x14ac:dyDescent="0.4">
      <c r="A33" s="919"/>
      <c r="B33" s="922"/>
      <c r="C33" s="923" t="s">
        <v>4228</v>
      </c>
      <c r="D33" s="924"/>
      <c r="E33" s="924"/>
      <c r="F33" s="924"/>
      <c r="G33" s="924"/>
      <c r="H33" s="293" t="str">
        <f>IF(AND(H31&lt;&gt;"",H32&lt;&gt;""),$H$31/$H$32,"-")</f>
        <v>-</v>
      </c>
      <c r="I33" s="13"/>
    </row>
    <row r="34" spans="1:9" s="8" customFormat="1" x14ac:dyDescent="0.35">
      <c r="I34" s="13"/>
    </row>
    <row r="35" spans="1:9" s="8" customFormat="1" x14ac:dyDescent="0.35">
      <c r="I35" s="13"/>
    </row>
    <row r="36" spans="1:9" s="8" customFormat="1" x14ac:dyDescent="0.35">
      <c r="C36" s="520" t="str">
        <f>+ "Autres informations de gouvernance ou informations de gouvernance spécifiques à l'entité " &amp; template_reporting_period_display &amp; "  [Facultatif] "</f>
        <v xml:space="preserve">Autres informations de gouvernance ou informations de gouvernance spécifiques à l'entité du - au -  [Facultatif] </v>
      </c>
      <c r="D36" s="521"/>
      <c r="E36" s="521"/>
      <c r="F36" s="521"/>
      <c r="G36" s="521"/>
      <c r="H36" s="522"/>
      <c r="I36" s="13"/>
    </row>
    <row r="37" spans="1:9" s="8" customFormat="1" x14ac:dyDescent="0.35">
      <c r="C37" s="933">
        <v>10</v>
      </c>
      <c r="D37" s="934"/>
      <c r="E37" s="934"/>
      <c r="F37" s="934"/>
      <c r="G37" s="934"/>
      <c r="H37" s="935"/>
      <c r="I37" s="13"/>
    </row>
    <row r="38" spans="1:9" s="8" customFormat="1" ht="15" thickBot="1" x14ac:dyDescent="0.4">
      <c r="C38" s="514"/>
      <c r="D38" s="515"/>
      <c r="E38" s="515"/>
      <c r="F38" s="515"/>
      <c r="G38" s="515"/>
      <c r="H38" s="930"/>
      <c r="I38" s="18" t="str">
        <f>IF(C38&lt;&gt;"", "OK", "")</f>
        <v/>
      </c>
    </row>
    <row r="39" spans="1:9" s="8" customFormat="1" x14ac:dyDescent="0.35">
      <c r="I39" s="13"/>
    </row>
    <row r="40" spans="1:9" s="8" customFormat="1" x14ac:dyDescent="0.35">
      <c r="I40" s="13"/>
    </row>
    <row r="41" spans="1:9" s="8" customFormat="1" x14ac:dyDescent="0.35">
      <c r="I41" s="13"/>
    </row>
    <row r="42" spans="1:9" s="8" customFormat="1" x14ac:dyDescent="0.35">
      <c r="I42" s="13"/>
    </row>
    <row r="43" spans="1:9" s="8" customFormat="1" x14ac:dyDescent="0.35">
      <c r="I43" s="13"/>
    </row>
    <row r="44" spans="1:9" s="8" customFormat="1" x14ac:dyDescent="0.35">
      <c r="I44" s="13"/>
    </row>
    <row r="45" spans="1:9" s="8" customFormat="1" x14ac:dyDescent="0.35">
      <c r="I45" s="13"/>
    </row>
    <row r="46" spans="1:9" s="8" customFormat="1" x14ac:dyDescent="0.35">
      <c r="I46" s="13"/>
    </row>
    <row r="47" spans="1:9" s="8" customFormat="1" x14ac:dyDescent="0.35">
      <c r="I47" s="13"/>
    </row>
    <row r="48" spans="1:9" s="8" customFormat="1" x14ac:dyDescent="0.35">
      <c r="I48" s="13"/>
    </row>
    <row r="49" spans="9:9" s="8" customFormat="1" x14ac:dyDescent="0.35">
      <c r="I49" s="13"/>
    </row>
    <row r="50" spans="9:9" s="8" customFormat="1" x14ac:dyDescent="0.35">
      <c r="I50" s="13"/>
    </row>
    <row r="51" spans="9:9" s="8" customFormat="1" x14ac:dyDescent="0.35">
      <c r="I51" s="13"/>
    </row>
    <row r="52" spans="9:9" s="8" customFormat="1" x14ac:dyDescent="0.35">
      <c r="I52" s="13"/>
    </row>
    <row r="53" spans="9:9" s="8" customFormat="1" x14ac:dyDescent="0.35">
      <c r="I53" s="13"/>
    </row>
    <row r="54" spans="9:9" s="8" customFormat="1" x14ac:dyDescent="0.35">
      <c r="I54" s="13"/>
    </row>
    <row r="55" spans="9:9" s="8" customFormat="1" x14ac:dyDescent="0.35">
      <c r="I55" s="13"/>
    </row>
    <row r="56" spans="9:9" s="8" customFormat="1" x14ac:dyDescent="0.35">
      <c r="I56" s="13"/>
    </row>
    <row r="57" spans="9:9" s="8" customFormat="1" x14ac:dyDescent="0.35">
      <c r="I57" s="13"/>
    </row>
    <row r="58" spans="9:9" s="8" customFormat="1" x14ac:dyDescent="0.35">
      <c r="I58" s="13"/>
    </row>
    <row r="59" spans="9:9" s="8" customFormat="1" x14ac:dyDescent="0.35">
      <c r="I59" s="13"/>
    </row>
    <row r="60" spans="9:9" s="8" customFormat="1" x14ac:dyDescent="0.35">
      <c r="I60" s="13"/>
    </row>
    <row r="61" spans="9:9" s="8" customFormat="1" x14ac:dyDescent="0.35">
      <c r="I61" s="13"/>
    </row>
    <row r="62" spans="9:9" s="8" customFormat="1" x14ac:dyDescent="0.35">
      <c r="I62" s="13"/>
    </row>
    <row r="63" spans="9:9" s="8" customFormat="1" x14ac:dyDescent="0.35">
      <c r="I63" s="13"/>
    </row>
    <row r="64" spans="9:9" s="8" customFormat="1" x14ac:dyDescent="0.35">
      <c r="I64" s="13"/>
    </row>
    <row r="65" spans="9:9" s="8" customFormat="1" x14ac:dyDescent="0.35">
      <c r="I65" s="13"/>
    </row>
    <row r="66" spans="9:9" s="8" customFormat="1" x14ac:dyDescent="0.35">
      <c r="I66" s="13"/>
    </row>
    <row r="67" spans="9:9" s="8" customFormat="1" x14ac:dyDescent="0.35">
      <c r="I67" s="13"/>
    </row>
    <row r="68" spans="9:9" s="8" customFormat="1" x14ac:dyDescent="0.35">
      <c r="I68" s="13"/>
    </row>
    <row r="69" spans="9:9" s="8" customFormat="1" x14ac:dyDescent="0.35">
      <c r="I69" s="13"/>
    </row>
    <row r="70" spans="9:9" s="8" customFormat="1" x14ac:dyDescent="0.35">
      <c r="I70" s="13"/>
    </row>
    <row r="71" spans="9:9" s="8" customFormat="1" x14ac:dyDescent="0.35">
      <c r="I71" s="13"/>
    </row>
    <row r="72" spans="9:9" s="8" customFormat="1" x14ac:dyDescent="0.35">
      <c r="I72" s="13"/>
    </row>
    <row r="73" spans="9:9" s="8" customFormat="1" x14ac:dyDescent="0.35">
      <c r="I73" s="13"/>
    </row>
    <row r="74" spans="9:9" s="8" customFormat="1" x14ac:dyDescent="0.35">
      <c r="I74" s="13"/>
    </row>
    <row r="75" spans="9:9" s="8" customFormat="1" x14ac:dyDescent="0.35">
      <c r="I75" s="13"/>
    </row>
    <row r="76" spans="9:9" s="8" customFormat="1" x14ac:dyDescent="0.35">
      <c r="I76" s="13"/>
    </row>
    <row r="77" spans="9:9" s="8" customFormat="1" x14ac:dyDescent="0.35">
      <c r="I77" s="13"/>
    </row>
    <row r="78" spans="9:9" s="8" customFormat="1" x14ac:dyDescent="0.35">
      <c r="I78" s="13"/>
    </row>
    <row r="79" spans="9:9" s="8" customFormat="1" x14ac:dyDescent="0.35">
      <c r="I79" s="13"/>
    </row>
    <row r="80" spans="9:9" s="8" customFormat="1" x14ac:dyDescent="0.35">
      <c r="I80" s="13"/>
    </row>
    <row r="81" spans="9:9" s="8" customFormat="1" x14ac:dyDescent="0.35">
      <c r="I81" s="13"/>
    </row>
    <row r="82" spans="9:9" s="8" customFormat="1" x14ac:dyDescent="0.35">
      <c r="I82" s="13"/>
    </row>
    <row r="83" spans="9:9" s="8" customFormat="1" x14ac:dyDescent="0.35">
      <c r="I83" s="13"/>
    </row>
    <row r="84" spans="9:9" s="8" customFormat="1" x14ac:dyDescent="0.35">
      <c r="I84" s="13"/>
    </row>
    <row r="85" spans="9:9" s="8" customFormat="1" x14ac:dyDescent="0.35">
      <c r="I85" s="13"/>
    </row>
    <row r="86" spans="9:9" s="8" customFormat="1" x14ac:dyDescent="0.35">
      <c r="I86" s="13"/>
    </row>
    <row r="87" spans="9:9" s="8" customFormat="1" x14ac:dyDescent="0.35">
      <c r="I87" s="13"/>
    </row>
    <row r="88" spans="9:9" s="8" customFormat="1" x14ac:dyDescent="0.35">
      <c r="I88" s="13"/>
    </row>
    <row r="89" spans="9:9" s="8" customFormat="1" x14ac:dyDescent="0.35">
      <c r="I89" s="13"/>
    </row>
    <row r="90" spans="9:9" s="8" customFormat="1" x14ac:dyDescent="0.35">
      <c r="I90" s="13"/>
    </row>
    <row r="91" spans="9:9" s="8" customFormat="1" x14ac:dyDescent="0.35">
      <c r="I91" s="13"/>
    </row>
    <row r="92" spans="9:9" s="8" customFormat="1" x14ac:dyDescent="0.35">
      <c r="I92" s="13"/>
    </row>
    <row r="93" spans="9:9" s="8" customFormat="1" x14ac:dyDescent="0.35">
      <c r="I93" s="13"/>
    </row>
    <row r="94" spans="9:9" s="8" customFormat="1" x14ac:dyDescent="0.35">
      <c r="I94" s="13"/>
    </row>
    <row r="95" spans="9:9" s="8" customFormat="1" x14ac:dyDescent="0.35">
      <c r="I95" s="13"/>
    </row>
    <row r="96" spans="9:9" s="8" customFormat="1" x14ac:dyDescent="0.35">
      <c r="I96" s="13"/>
    </row>
    <row r="97" spans="9:9" s="8" customFormat="1" x14ac:dyDescent="0.35">
      <c r="I97" s="13"/>
    </row>
    <row r="98" spans="9:9" s="8" customFormat="1" x14ac:dyDescent="0.35">
      <c r="I98" s="13"/>
    </row>
    <row r="99" spans="9:9" s="8" customFormat="1" x14ac:dyDescent="0.35">
      <c r="I99" s="13"/>
    </row>
    <row r="100" spans="9:9" s="8" customFormat="1" x14ac:dyDescent="0.35">
      <c r="I100" s="13"/>
    </row>
    <row r="101" spans="9:9" s="8" customFormat="1" x14ac:dyDescent="0.35">
      <c r="I101" s="13"/>
    </row>
    <row r="102" spans="9:9" s="8" customFormat="1" x14ac:dyDescent="0.35">
      <c r="I102" s="13"/>
    </row>
    <row r="103" spans="9:9" s="8" customFormat="1" x14ac:dyDescent="0.35">
      <c r="I103" s="13"/>
    </row>
    <row r="104" spans="9:9" s="8" customFormat="1" x14ac:dyDescent="0.35">
      <c r="I104" s="13"/>
    </row>
    <row r="105" spans="9:9" s="8" customFormat="1" x14ac:dyDescent="0.35">
      <c r="I105" s="13"/>
    </row>
    <row r="106" spans="9:9" s="8" customFormat="1" x14ac:dyDescent="0.35">
      <c r="I106" s="13"/>
    </row>
    <row r="107" spans="9:9" s="8" customFormat="1" x14ac:dyDescent="0.35">
      <c r="I107" s="13"/>
    </row>
    <row r="108" spans="9:9" s="8" customFormat="1" x14ac:dyDescent="0.35">
      <c r="I108" s="13"/>
    </row>
    <row r="109" spans="9:9" s="8" customFormat="1" x14ac:dyDescent="0.35">
      <c r="I109" s="13"/>
    </row>
    <row r="110" spans="9:9" s="8" customFormat="1" x14ac:dyDescent="0.35">
      <c r="I110" s="13"/>
    </row>
    <row r="111" spans="9:9" s="8" customFormat="1" x14ac:dyDescent="0.35">
      <c r="I111" s="13"/>
    </row>
    <row r="112" spans="9:9" s="8" customFormat="1" x14ac:dyDescent="0.35">
      <c r="I112" s="13"/>
    </row>
    <row r="113" spans="9:9" s="8" customFormat="1" x14ac:dyDescent="0.35">
      <c r="I113" s="13"/>
    </row>
    <row r="114" spans="9:9" s="8" customFormat="1" x14ac:dyDescent="0.35">
      <c r="I114" s="13"/>
    </row>
    <row r="115" spans="9:9" s="8" customFormat="1" x14ac:dyDescent="0.35">
      <c r="I115" s="13"/>
    </row>
    <row r="116" spans="9:9" s="8" customFormat="1" x14ac:dyDescent="0.35">
      <c r="I116" s="13"/>
    </row>
    <row r="117" spans="9:9" s="8" customFormat="1" x14ac:dyDescent="0.35">
      <c r="I117" s="13"/>
    </row>
    <row r="118" spans="9:9" s="8" customFormat="1" x14ac:dyDescent="0.35">
      <c r="I118" s="13"/>
    </row>
    <row r="119" spans="9:9" s="8" customFormat="1" x14ac:dyDescent="0.35">
      <c r="I119" s="13"/>
    </row>
    <row r="120" spans="9:9" s="8" customFormat="1" x14ac:dyDescent="0.35">
      <c r="I120" s="13"/>
    </row>
    <row r="121" spans="9:9" s="8" customFormat="1" x14ac:dyDescent="0.35">
      <c r="I121" s="13"/>
    </row>
    <row r="122" spans="9:9" s="8" customFormat="1" x14ac:dyDescent="0.35">
      <c r="I122" s="13"/>
    </row>
    <row r="123" spans="9:9" s="8" customFormat="1" x14ac:dyDescent="0.35">
      <c r="I123" s="13"/>
    </row>
    <row r="124" spans="9:9" s="8" customFormat="1" x14ac:dyDescent="0.35">
      <c r="I124" s="13"/>
    </row>
    <row r="125" spans="9:9" s="8" customFormat="1" x14ac:dyDescent="0.35">
      <c r="I125" s="13"/>
    </row>
    <row r="126" spans="9:9" s="8" customFormat="1" x14ac:dyDescent="0.35">
      <c r="I126" s="13"/>
    </row>
    <row r="127" spans="9:9" s="8" customFormat="1" x14ac:dyDescent="0.35">
      <c r="I127" s="13"/>
    </row>
    <row r="128" spans="9:9" s="8" customFormat="1" x14ac:dyDescent="0.35">
      <c r="I128" s="13"/>
    </row>
    <row r="129" spans="9:9" s="8" customFormat="1" x14ac:dyDescent="0.35">
      <c r="I129" s="13"/>
    </row>
    <row r="130" spans="9:9" s="8" customFormat="1" x14ac:dyDescent="0.35">
      <c r="I130" s="13"/>
    </row>
    <row r="131" spans="9:9" s="8" customFormat="1" x14ac:dyDescent="0.35">
      <c r="I131" s="13"/>
    </row>
    <row r="132" spans="9:9" s="8" customFormat="1" x14ac:dyDescent="0.35">
      <c r="I132" s="13"/>
    </row>
    <row r="133" spans="9:9" s="8" customFormat="1" x14ac:dyDescent="0.35">
      <c r="I133" s="13"/>
    </row>
    <row r="134" spans="9:9" s="8" customFormat="1" x14ac:dyDescent="0.35">
      <c r="I134" s="13"/>
    </row>
    <row r="135" spans="9:9" s="8" customFormat="1" x14ac:dyDescent="0.35">
      <c r="I135" s="13"/>
    </row>
    <row r="136" spans="9:9" s="8" customFormat="1" x14ac:dyDescent="0.35">
      <c r="I136" s="13"/>
    </row>
    <row r="137" spans="9:9" s="8" customFormat="1" x14ac:dyDescent="0.35">
      <c r="I137" s="13"/>
    </row>
    <row r="138" spans="9:9" s="8" customFormat="1" x14ac:dyDescent="0.35">
      <c r="I138" s="13"/>
    </row>
    <row r="139" spans="9:9" s="8" customFormat="1" x14ac:dyDescent="0.35">
      <c r="I139" s="13"/>
    </row>
    <row r="140" spans="9:9" s="8" customFormat="1" x14ac:dyDescent="0.35">
      <c r="I140" s="13"/>
    </row>
    <row r="141" spans="9:9" s="8" customFormat="1" x14ac:dyDescent="0.35">
      <c r="I141" s="13"/>
    </row>
    <row r="142" spans="9:9" s="8" customFormat="1" x14ac:dyDescent="0.35">
      <c r="I142" s="13"/>
    </row>
    <row r="143" spans="9:9" s="8" customFormat="1" x14ac:dyDescent="0.35">
      <c r="I143" s="13"/>
    </row>
    <row r="144" spans="9:9" s="8" customFormat="1" x14ac:dyDescent="0.35">
      <c r="I144" s="13"/>
    </row>
    <row r="145" spans="9:9" s="8" customFormat="1" x14ac:dyDescent="0.35">
      <c r="I145" s="13"/>
    </row>
    <row r="146" spans="9:9" s="8" customFormat="1" x14ac:dyDescent="0.35">
      <c r="I146" s="13"/>
    </row>
    <row r="147" spans="9:9" s="8" customFormat="1" x14ac:dyDescent="0.35">
      <c r="I147" s="13"/>
    </row>
    <row r="148" spans="9:9" s="8" customFormat="1" x14ac:dyDescent="0.35">
      <c r="I148" s="13"/>
    </row>
    <row r="149" spans="9:9" s="8" customFormat="1" x14ac:dyDescent="0.35">
      <c r="I149" s="13"/>
    </row>
    <row r="150" spans="9:9" s="8" customFormat="1" x14ac:dyDescent="0.35">
      <c r="I150" s="13"/>
    </row>
    <row r="151" spans="9:9" s="8" customFormat="1" x14ac:dyDescent="0.35">
      <c r="I151" s="13"/>
    </row>
    <row r="152" spans="9:9" s="8" customFormat="1" x14ac:dyDescent="0.35">
      <c r="I152" s="13"/>
    </row>
    <row r="153" spans="9:9" s="8" customFormat="1" x14ac:dyDescent="0.35">
      <c r="I153" s="13"/>
    </row>
    <row r="154" spans="9:9" s="8" customFormat="1" x14ac:dyDescent="0.35">
      <c r="I154" s="13"/>
    </row>
    <row r="155" spans="9:9" s="8" customFormat="1" x14ac:dyDescent="0.35">
      <c r="I155" s="13"/>
    </row>
    <row r="156" spans="9:9" s="8" customFormat="1" x14ac:dyDescent="0.35">
      <c r="I156" s="13"/>
    </row>
    <row r="157" spans="9:9" s="8" customFormat="1" x14ac:dyDescent="0.35">
      <c r="I157" s="13"/>
    </row>
    <row r="158" spans="9:9" s="8" customFormat="1" x14ac:dyDescent="0.35">
      <c r="I158" s="13"/>
    </row>
    <row r="159" spans="9:9" s="8" customFormat="1" x14ac:dyDescent="0.35">
      <c r="I159" s="13"/>
    </row>
    <row r="160" spans="9:9" s="8" customFormat="1" x14ac:dyDescent="0.35">
      <c r="I160" s="13"/>
    </row>
    <row r="161" spans="9:9" s="8" customFormat="1" x14ac:dyDescent="0.35">
      <c r="I161" s="13"/>
    </row>
    <row r="162" spans="9:9" s="8" customFormat="1" x14ac:dyDescent="0.35">
      <c r="I162" s="13"/>
    </row>
    <row r="163" spans="9:9" s="8" customFormat="1" x14ac:dyDescent="0.35">
      <c r="I163" s="13"/>
    </row>
    <row r="164" spans="9:9" s="8" customFormat="1" x14ac:dyDescent="0.35">
      <c r="I164" s="13"/>
    </row>
    <row r="165" spans="9:9" s="8" customFormat="1" x14ac:dyDescent="0.35">
      <c r="I165" s="13"/>
    </row>
    <row r="166" spans="9:9" s="8" customFormat="1" x14ac:dyDescent="0.35">
      <c r="I166" s="13"/>
    </row>
    <row r="167" spans="9:9" s="8" customFormat="1" x14ac:dyDescent="0.35">
      <c r="I167" s="13"/>
    </row>
    <row r="168" spans="9:9" s="8" customFormat="1" x14ac:dyDescent="0.35">
      <c r="I168" s="13"/>
    </row>
    <row r="169" spans="9:9" s="8" customFormat="1" x14ac:dyDescent="0.35">
      <c r="I169" s="13"/>
    </row>
    <row r="170" spans="9:9" s="8" customFormat="1" x14ac:dyDescent="0.35">
      <c r="I170" s="13"/>
    </row>
    <row r="171" spans="9:9" s="8" customFormat="1" x14ac:dyDescent="0.35">
      <c r="I171" s="13"/>
    </row>
    <row r="172" spans="9:9" s="8" customFormat="1" x14ac:dyDescent="0.35">
      <c r="I172" s="13"/>
    </row>
    <row r="173" spans="9:9" s="8" customFormat="1" x14ac:dyDescent="0.35">
      <c r="I173" s="13"/>
    </row>
    <row r="174" spans="9:9" s="8" customFormat="1" x14ac:dyDescent="0.35">
      <c r="I174" s="13"/>
    </row>
    <row r="175" spans="9:9" s="8" customFormat="1" x14ac:dyDescent="0.35">
      <c r="I175" s="13"/>
    </row>
    <row r="176" spans="9:9" s="8" customFormat="1" x14ac:dyDescent="0.35">
      <c r="I176" s="13"/>
    </row>
    <row r="177" spans="9:9" s="8" customFormat="1" x14ac:dyDescent="0.35">
      <c r="I177" s="13"/>
    </row>
    <row r="178" spans="9:9" s="8" customFormat="1" x14ac:dyDescent="0.35">
      <c r="I178" s="13"/>
    </row>
    <row r="179" spans="9:9" s="8" customFormat="1" x14ac:dyDescent="0.35">
      <c r="I179" s="13"/>
    </row>
    <row r="180" spans="9:9" s="8" customFormat="1" x14ac:dyDescent="0.35">
      <c r="I180" s="13"/>
    </row>
    <row r="181" spans="9:9" s="8" customFormat="1" x14ac:dyDescent="0.35">
      <c r="I181" s="13"/>
    </row>
    <row r="182" spans="9:9" s="8" customFormat="1" x14ac:dyDescent="0.35">
      <c r="I182" s="13"/>
    </row>
    <row r="183" spans="9:9" s="8" customFormat="1" x14ac:dyDescent="0.35">
      <c r="I183" s="13"/>
    </row>
    <row r="184" spans="9:9" s="8" customFormat="1" x14ac:dyDescent="0.35">
      <c r="I184" s="13"/>
    </row>
    <row r="185" spans="9:9" s="8" customFormat="1" x14ac:dyDescent="0.35">
      <c r="I185" s="13"/>
    </row>
    <row r="186" spans="9:9" s="8" customFormat="1" x14ac:dyDescent="0.35">
      <c r="I186" s="13"/>
    </row>
    <row r="187" spans="9:9" s="8" customFormat="1" x14ac:dyDescent="0.35">
      <c r="I187" s="13"/>
    </row>
    <row r="188" spans="9:9" s="8" customFormat="1" x14ac:dyDescent="0.35">
      <c r="I188" s="13"/>
    </row>
    <row r="189" spans="9:9" s="8" customFormat="1" x14ac:dyDescent="0.35">
      <c r="I189" s="13"/>
    </row>
    <row r="190" spans="9:9" s="8" customFormat="1" x14ac:dyDescent="0.35">
      <c r="I190" s="13"/>
    </row>
    <row r="191" spans="9:9" s="8" customFormat="1" x14ac:dyDescent="0.35">
      <c r="I191" s="13"/>
    </row>
    <row r="192" spans="9:9" s="8" customFormat="1" x14ac:dyDescent="0.35">
      <c r="I192" s="13"/>
    </row>
    <row r="193" spans="9:9" s="8" customFormat="1" x14ac:dyDescent="0.35">
      <c r="I193" s="13"/>
    </row>
    <row r="194" spans="9:9" s="8" customFormat="1" x14ac:dyDescent="0.35">
      <c r="I194" s="13"/>
    </row>
    <row r="195" spans="9:9" s="8" customFormat="1" x14ac:dyDescent="0.35">
      <c r="I195" s="13"/>
    </row>
    <row r="196" spans="9:9" s="8" customFormat="1" x14ac:dyDescent="0.35">
      <c r="I196" s="13"/>
    </row>
    <row r="197" spans="9:9" s="8" customFormat="1" x14ac:dyDescent="0.35">
      <c r="I197" s="13"/>
    </row>
    <row r="198" spans="9:9" s="8" customFormat="1" x14ac:dyDescent="0.35">
      <c r="I198" s="13"/>
    </row>
    <row r="199" spans="9:9" s="8" customFormat="1" x14ac:dyDescent="0.35">
      <c r="I199" s="13"/>
    </row>
    <row r="200" spans="9:9" s="8" customFormat="1" x14ac:dyDescent="0.35">
      <c r="I200" s="13"/>
    </row>
    <row r="201" spans="9:9" s="8" customFormat="1" x14ac:dyDescent="0.35">
      <c r="I201" s="13"/>
    </row>
    <row r="202" spans="9:9" s="8" customFormat="1" x14ac:dyDescent="0.35">
      <c r="I202" s="13"/>
    </row>
    <row r="203" spans="9:9" s="8" customFormat="1" x14ac:dyDescent="0.35">
      <c r="I203" s="13"/>
    </row>
    <row r="204" spans="9:9" s="8" customFormat="1" x14ac:dyDescent="0.35">
      <c r="I204" s="13"/>
    </row>
    <row r="205" spans="9:9" s="8" customFormat="1" x14ac:dyDescent="0.35">
      <c r="I205" s="13"/>
    </row>
    <row r="206" spans="9:9" s="8" customFormat="1" x14ac:dyDescent="0.35">
      <c r="I206" s="13"/>
    </row>
    <row r="207" spans="9:9" s="8" customFormat="1" x14ac:dyDescent="0.35">
      <c r="I207" s="13"/>
    </row>
    <row r="208" spans="9:9" s="8" customFormat="1" x14ac:dyDescent="0.35">
      <c r="I208" s="13"/>
    </row>
    <row r="209" spans="9:9" s="8" customFormat="1" x14ac:dyDescent="0.35">
      <c r="I209" s="13"/>
    </row>
    <row r="210" spans="9:9" s="8" customFormat="1" x14ac:dyDescent="0.35">
      <c r="I210" s="13"/>
    </row>
    <row r="211" spans="9:9" s="8" customFormat="1" x14ac:dyDescent="0.35">
      <c r="I211" s="13"/>
    </row>
    <row r="212" spans="9:9" s="8" customFormat="1" x14ac:dyDescent="0.35">
      <c r="I212" s="13"/>
    </row>
    <row r="213" spans="9:9" s="8" customFormat="1" x14ac:dyDescent="0.35">
      <c r="I213" s="13"/>
    </row>
    <row r="214" spans="9:9" s="8" customFormat="1" x14ac:dyDescent="0.35">
      <c r="I214" s="13"/>
    </row>
    <row r="215" spans="9:9" s="8" customFormat="1" x14ac:dyDescent="0.35">
      <c r="I215" s="13"/>
    </row>
    <row r="216" spans="9:9" s="8" customFormat="1" x14ac:dyDescent="0.35">
      <c r="I216" s="13"/>
    </row>
    <row r="217" spans="9:9" s="8" customFormat="1" x14ac:dyDescent="0.35">
      <c r="I217" s="13"/>
    </row>
    <row r="218" spans="9:9" s="8" customFormat="1" x14ac:dyDescent="0.35">
      <c r="I218" s="13"/>
    </row>
  </sheetData>
  <sheetProtection formatColumns="0" formatRows="0" insertRows="0"/>
  <mergeCells count="36">
    <mergeCell ref="C2:H2"/>
    <mergeCell ref="C9:H9"/>
    <mergeCell ref="C29:H29"/>
    <mergeCell ref="C20:H20"/>
    <mergeCell ref="C3:H3"/>
    <mergeCell ref="C4:H4"/>
    <mergeCell ref="C21:H21"/>
    <mergeCell ref="C18:G18"/>
    <mergeCell ref="C11:G11"/>
    <mergeCell ref="C22:G22"/>
    <mergeCell ref="C23:G23"/>
    <mergeCell ref="C24:G24"/>
    <mergeCell ref="C25:G25"/>
    <mergeCell ref="C6:G6"/>
    <mergeCell ref="C7:G7"/>
    <mergeCell ref="C16:G16"/>
    <mergeCell ref="C17:G17"/>
    <mergeCell ref="C5:G5"/>
    <mergeCell ref="C10:G10"/>
    <mergeCell ref="I12:I18"/>
    <mergeCell ref="C38:H38"/>
    <mergeCell ref="C12:G12"/>
    <mergeCell ref="C13:G13"/>
    <mergeCell ref="C14:G14"/>
    <mergeCell ref="C36:H36"/>
    <mergeCell ref="C37:H37"/>
    <mergeCell ref="C26:G26"/>
    <mergeCell ref="I22:I26"/>
    <mergeCell ref="C15:G15"/>
    <mergeCell ref="C27:G27"/>
    <mergeCell ref="C30:G30"/>
    <mergeCell ref="A31:A33"/>
    <mergeCell ref="B31:B33"/>
    <mergeCell ref="C33:G33"/>
    <mergeCell ref="C31:G31"/>
    <mergeCell ref="C32:G32"/>
  </mergeCells>
  <phoneticPr fontId="3" type="noConversion"/>
  <conditionalFormatting sqref="H6:H7">
    <cfRule type="expression" dxfId="167" priority="7">
      <formula>$H$5=TRUE</formula>
    </cfRule>
  </conditionalFormatting>
  <conditionalFormatting sqref="H12:H16">
    <cfRule type="expression" dxfId="166" priority="6">
      <formula>$H$10=TRUE</formula>
    </cfRule>
  </conditionalFormatting>
  <conditionalFormatting sqref="H18">
    <cfRule type="expression" dxfId="165" priority="5">
      <formula>$H$10=TRUE</formula>
    </cfRule>
  </conditionalFormatting>
  <conditionalFormatting sqref="H31:H32">
    <cfRule type="expression" dxfId="164" priority="4">
      <formula>$H$30=TRUE</formula>
    </cfRule>
  </conditionalFormatting>
  <conditionalFormatting sqref="I6:I7">
    <cfRule type="expression" dxfId="163" priority="3">
      <formula>$I6="MISSING VALUE"</formula>
    </cfRule>
    <cfRule type="expression" dxfId="162" priority="25">
      <formula>$I6="OK"</formula>
    </cfRule>
  </conditionalFormatting>
  <conditionalFormatting sqref="I12:I18">
    <cfRule type="expression" dxfId="161" priority="1">
      <formula>$I$12="MISSING VALUE"</formula>
    </cfRule>
    <cfRule type="expression" dxfId="160" priority="11">
      <formula>$I$12="VALUE INCONSISTENCY"</formula>
    </cfRule>
    <cfRule type="expression" dxfId="159" priority="12">
      <formula>$I$12="OK"</formula>
    </cfRule>
  </conditionalFormatting>
  <conditionalFormatting sqref="I22">
    <cfRule type="expression" dxfId="158" priority="8">
      <formula>$I$22="OK"</formula>
    </cfRule>
    <cfRule type="expression" dxfId="157" priority="9">
      <formula>$I$22="MISSING VALUE"</formula>
    </cfRule>
  </conditionalFormatting>
  <conditionalFormatting sqref="I27">
    <cfRule type="expression" dxfId="156" priority="18">
      <formula>$I$27="OK"</formula>
    </cfRule>
  </conditionalFormatting>
  <conditionalFormatting sqref="I30:I32">
    <cfRule type="expression" dxfId="155" priority="17">
      <formula>$I30="OK"</formula>
    </cfRule>
  </conditionalFormatting>
  <conditionalFormatting sqref="I31:I32">
    <cfRule type="expression" dxfId="154" priority="2">
      <formula>$I31="MISSING VALUE"</formula>
    </cfRule>
  </conditionalFormatting>
  <conditionalFormatting sqref="I38">
    <cfRule type="expression" dxfId="153" priority="10">
      <formula>$I$38="OK"</formula>
    </cfRule>
  </conditionalFormatting>
  <dataValidations count="12">
    <dataValidation type="decimal" operator="equal" allowBlank="1" showInputMessage="1" showErrorMessage="1" promptTitle="Avertissement (si pertinent)" prompt="Cette information n'est pertinente que si l'entreprise a fait l'objet de condamnations/amendes au cours de la période de référence." sqref="H7" xr:uid="{6F872197-207D-42B9-A398-224136E9C3BE}">
      <formula1>H7</formula1>
    </dataValidation>
    <dataValidation type="whole" operator="equal" allowBlank="1" showInputMessage="1" showErrorMessage="1" promptTitle="Avertissement (si pertinent)" prompt="Cette information n'est pertinente que si l'entreprise dispose d'un organe de gouvernance." sqref="H31:H32" xr:uid="{BDA32504-9D53-471A-AB25-BD511E13155A}">
      <formula1>H31</formula1>
    </dataValidation>
    <dataValidation type="custom" showInputMessage="1" showErrorMessage="1" sqref="H24" xr:uid="{6855C78C-CF3E-4396-8813-563BA331F905}">
      <formula1>IF(H26=TRUE, FALSE, TRUE)</formula1>
    </dataValidation>
    <dataValidation type="custom" allowBlank="1" showInputMessage="1" showErrorMessage="1" sqref="H25" xr:uid="{5D8F047D-379E-481F-9B48-E72E8A36EBA3}">
      <formula1>IF(H26=TRUE, FALSE, TRUE)</formula1>
    </dataValidation>
    <dataValidation type="custom" showInputMessage="1" showErrorMessage="1" sqref="H33" xr:uid="{40917A9E-0485-4E91-B527-B73548B14EA4}">
      <formula1>IF(AND(H31&lt;&gt;"",H32&lt;&gt;""),$H$31/$H$32,"-")</formula1>
    </dataValidation>
    <dataValidation allowBlank="1" showInputMessage="1" showErrorMessage="1" promptTitle="Ratio femmes/hommes CA" prompt="nombre de femmes membres du conseil d'administration / nombre d'hommes membres du conseil d'administration" sqref="C33:G33" xr:uid="{13819AD4-B21A-4575-89EF-B9AD3B7EB561}"/>
    <dataValidation type="whole" operator="equal" allowBlank="1" showInputMessage="1" showErrorMessage="1" promptTitle="Avertissement (si pertinent)" prompt="Cette information n'est pertinente que si l'entreprise a fait l'objet de condamnations/amendes au cours de la période de référence." sqref="H6" xr:uid="{5EF27216-7ECB-45B3-B337-FC8959DC9DE3}">
      <formula1>H6</formula1>
    </dataValidation>
    <dataValidation type="custom" showInputMessage="1" showErrorMessage="1" sqref="H22" xr:uid="{F98804C1-5D5A-4769-AD2B-312152F69373}">
      <formula1>IF(H26=TRUE, FALSE, TRUE)</formula1>
    </dataValidation>
    <dataValidation type="custom" showInputMessage="1" showErrorMessage="1" sqref="H26" xr:uid="{3DB3CBF6-ED39-4573-8FD1-8B9BD249A779}">
      <formula1>IF(OR(H22=TRUE, H23=TRUE, H24=TRUE, H25=TRUE), H26=FALSE, TRUE)</formula1>
    </dataValidation>
    <dataValidation type="custom" showInputMessage="1" showErrorMessage="1" sqref="H23" xr:uid="{98C61BCE-755A-47DC-814B-18797D932240}">
      <formula1>IF(H26=TRUE, FALSE, TRUE)</formula1>
    </dataValidation>
    <dataValidation type="custom" showInputMessage="1" showErrorMessage="1" sqref="H11" xr:uid="{8A01336C-2998-40B9-9A10-C1CACA56A005}">
      <formula1>IF(H16=TRUE, FALSE, TRUE)</formula1>
    </dataValidation>
    <dataValidation type="custom" showInputMessage="1" showErrorMessage="1" sqref="H5 H10 H30" xr:uid="{5251F65C-302B-430B-9A74-3504B0782C15}">
      <formula1>OR(H5=TRUE,H5=FALSE)</formula1>
    </dataValidation>
  </dataValidations>
  <hyperlinks>
    <hyperlink ref="B31" r:id="rId1" location="id-430" xr:uid="{DD9DFEB0-008E-4085-9C4C-4E4071AF9EDD}"/>
    <hyperlink ref="C4" r:id="rId2" location="id-390" xr:uid="{9E36270B-F82E-4DBC-85F6-FFB6017A5FC6}"/>
    <hyperlink ref="C3" r:id="rId3" location="id-101" display="https://xbrl.efrag.org/e-esrs/2024-12-17-efrag-vsme.xhtml - id-101" xr:uid="{E98F2C39-CB33-456F-AE8F-63B2283FA058}"/>
    <hyperlink ref="A12" r:id="rId4" location="id-152" xr:uid="{0657DA08-490E-4BA8-8E5A-A36584CC3868}"/>
    <hyperlink ref="A13" r:id="rId5" location="id-153" xr:uid="{34F4B8AF-2DEE-4167-9575-E492545D940D}"/>
    <hyperlink ref="A14" r:id="rId6" location="id-154" xr:uid="{541F1F99-604B-4056-85A4-099A07C87266}"/>
    <hyperlink ref="A18" r:id="rId7" location="id-155" xr:uid="{4AC2196A-CAEA-4FA3-9EE0-453860A4DD24}"/>
    <hyperlink ref="A31" r:id="rId8" location="id-157" display="https://xbrl.efrag.org/e-esrs/2024-12-17-efrag-vsme.xhtml - id-157" xr:uid="{AB8591A9-7AF3-4FBD-9554-A2D0FD1D20C3}"/>
    <hyperlink ref="B27" r:id="rId9" location="id-425" display="https://xbrl.efrag.org/e-esrs/2024-12-17-efrag-vsme.xhtml - id-425" xr:uid="{B64DA43C-EDC4-4406-A04F-550966F14887}"/>
    <hyperlink ref="B22" r:id="rId10" location="id-426" xr:uid="{E5160077-4F36-4BD8-86FA-2A762B90A522}"/>
    <hyperlink ref="B23" r:id="rId11" location="id-427" xr:uid="{0E47DDD5-A5AE-41A4-AD9E-E64EED2C77D7}"/>
    <hyperlink ref="B24" r:id="rId12" location="id-428" xr:uid="{B18FB860-026E-41ED-B82E-7CB596B0F07E}"/>
    <hyperlink ref="B25" r:id="rId13" location="id-429" xr:uid="{A3D72F7C-F915-4130-AEEB-2CB05E19F60B}"/>
    <hyperlink ref="C37" r:id="rId14" location="id-30" display="https://xbrl.efrag.org/e-esrs/2024-12-17-efrag-vsme.xhtml - id-30" xr:uid="{99043B26-ADF0-4E30-AC4D-749B87744438}"/>
    <hyperlink ref="B12" r:id="rId15" location="id-423" display="239-240" xr:uid="{C547DB8C-D923-4FC7-B0DA-200463B84266}"/>
    <hyperlink ref="A15:A17" r:id="rId16" location="id-154" display="63(c)" xr:uid="{201AC7ED-8C17-43A8-91BA-C017DA6D6E03}"/>
    <hyperlink ref="B13:B18" r:id="rId17" location="id-423" display="239-240" xr:uid="{5C8262DE-22EF-4323-B50E-E57C48B5D7DF}"/>
  </hyperlinks>
  <pageMargins left="0.7" right="0.7" top="0.75" bottom="0.75" header="0.3" footer="0.3"/>
  <drawing r:id="rId18"/>
  <extLst>
    <ext xmlns:x14="http://schemas.microsoft.com/office/spreadsheetml/2009/9/main" uri="{78C0D931-6437-407d-A8EE-F0AAD7539E65}">
      <x14:conditionalFormattings>
        <x14:conditionalFormatting xmlns:xm="http://schemas.microsoft.com/office/excel/2006/main">
          <x14:cfRule type="iconSet" priority="16" id="{3E49E481-2568-46BD-8EBE-FE7713E3A7A2}">
            <x14:iconSet iconSet="3Symbols" custom="1">
              <x14:cfvo type="percent">
                <xm:f>0</xm:f>
              </x14:cfvo>
              <x14:cfvo type="formula">
                <xm:f>$H$22=FALSE</xm:f>
              </x14:cfvo>
              <x14:cfvo type="formula">
                <xm:f>$H$22=TRUE</xm:f>
              </x14:cfvo>
              <x14:cfIcon iconSet="3Symbols" iconId="0"/>
              <x14:cfIcon iconSet="3Symbols" iconId="0"/>
              <x14:cfIcon iconSet="3Symbols" iconId="2"/>
            </x14:iconSet>
          </x14:cfRule>
          <xm:sqref>I22</xm:sqref>
        </x14:conditionalFormatting>
      </x14:conditionalFormattings>
    </ext>
    <ext xmlns:x14="http://schemas.microsoft.com/office/spreadsheetml/2009/9/main" uri="{CCE6A557-97BC-4b89-ADB6-D9C93CAAB3DF}">
      <x14:dataValidations xmlns:xm="http://schemas.microsoft.com/office/excel/2006/main" count="7">
        <x14:dataValidation type="custom" showInputMessage="1" showErrorMessage="1" promptTitle="Avertissement (si pertinent)" prompt="Cette information n'est pertinente que si l'entreprise opère dans un ou plusieurs de ces secteurs." xr:uid="{B00077E6-D227-4F5B-A4C9-0C9DBAF0147A}">
          <x14:formula1>
            <xm:f>($H$12+$H$13+$H$14+$H$18)&lt;='Informations générales'!$E$61</xm:f>
          </x14:formula1>
          <xm:sqref>H17</xm:sqref>
        </x14:dataValidation>
        <x14:dataValidation type="custom" showInputMessage="1" showErrorMessage="1" promptTitle="Avertissement (si pertinent)" prompt="Cette information n'est pertinente que si l'entreprise fabrique des pesticides ou d'autre produits agrochimiques." xr:uid="{F6328591-2F0B-4688-A58B-FE2019B26C27}">
          <x14:formula1>
            <xm:f>($H$12+$H$13+$H$14+$H$15+$H$16+$H$18)&lt;='Informations générales'!$E$61</xm:f>
          </x14:formula1>
          <xm:sqref>H18</xm:sqref>
        </x14:dataValidation>
        <x14:dataValidation type="custom" showInputMessage="1" showErrorMessage="1" promptTitle="Avertissement (si pertinent)" prompt="Cette information n'est pertinente que si l'entreprise tire des recettes du gaz." xr:uid="{A002EF1E-ED6D-40E6-A588-4557DBC9A08D}">
          <x14:formula1>
            <xm:f>($H$12+$H$13+$H$14+$H$15+$H$16+$H$18)&lt;='Informations générales'!$E$61</xm:f>
          </x14:formula1>
          <xm:sqref>H16</xm:sqref>
        </x14:dataValidation>
        <x14:dataValidation type="custom" showInputMessage="1" showErrorMessage="1" promptTitle="Avertissement (si pertinent)" prompt="Cette information n'est pertinente que si l'entreprise tire des recettes des armes controversées" xr:uid="{5F52CFE0-4CE0-4FB6-BE97-30F57AF2E98A}">
          <x14:formula1>
            <xm:f>($H$12+$H$13+$H$14+$H$15+$H$16+$H$18)&lt;='Informations générales'!$E$61</xm:f>
          </x14:formula1>
          <xm:sqref>H12</xm:sqref>
        </x14:dataValidation>
        <x14:dataValidation type="custom" showInputMessage="1" showErrorMessage="1" promptTitle="Avertissement (si pertinent)" prompt="Cette information n'est pertinente que si l'entreprise tire des recettes de la culture et de la production de tabac" xr:uid="{A3FCF6C7-B780-4C61-9B38-258B77F1DAAC}">
          <x14:formula1>
            <xm:f>($H$12+$H$13+$H$14+$H$15+$H$16+$H$18)&lt;='Informations générales'!$E$61</xm:f>
          </x14:formula1>
          <xm:sqref>H13</xm:sqref>
        </x14:dataValidation>
        <x14:dataValidation type="custom" showInputMessage="1" showErrorMessage="1" promptTitle="Avertissement (si pertinent)" prompt="Cette information n'est pertinente que si l'entreprise tire des recettes du charbon" xr:uid="{EB2AE2DC-1214-4C75-A639-E4C31B808FE9}">
          <x14:formula1>
            <xm:f>($H$12+$H$13+$H$14+$H$15+$H$16+$H$18)&lt;='Informations générales'!$E$61</xm:f>
          </x14:formula1>
          <xm:sqref>H14</xm:sqref>
        </x14:dataValidation>
        <x14:dataValidation type="custom" showInputMessage="1" showErrorMessage="1" promptTitle="Avertissement (si pertinent)" prompt="Cette information n'est pertinente que si l'entreprise tire des recettes du pétrole" xr:uid="{259FBDB3-264C-4443-A9F4-45B6FC477148}">
          <x14:formula1>
            <xm:f>($H$12+$H$13+$H$14+$H$15+$H$16+$H$18)&lt;='Informations générales'!$E$61</xm:f>
          </x14:formula1>
          <xm:sqref>H15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5E32A-1E4A-4F0D-9737-23BF22D3D4EB}">
  <dimension ref="A1:I109"/>
  <sheetViews>
    <sheetView topLeftCell="A42" zoomScale="68" zoomScaleNormal="68" workbookViewId="0">
      <selection activeCell="A53" sqref="A53"/>
    </sheetView>
  </sheetViews>
  <sheetFormatPr baseColWidth="10" defaultColWidth="8.81640625" defaultRowHeight="14.5" outlineLevelRow="1" x14ac:dyDescent="0.35"/>
  <cols>
    <col min="1" max="1" width="17.26953125" style="8" customWidth="1"/>
    <col min="2" max="2" width="14.54296875" style="8" customWidth="1"/>
    <col min="3" max="3" width="70.26953125" style="8" customWidth="1"/>
    <col min="4" max="4" width="38.08984375" style="8" customWidth="1"/>
    <col min="5" max="5" width="27.81640625" style="8" customWidth="1"/>
    <col min="6" max="7" width="8.81640625" style="8"/>
    <col min="8" max="9" width="21.26953125" style="8" bestFit="1" customWidth="1"/>
    <col min="10" max="16384" width="8.81640625" style="8"/>
  </cols>
  <sheetData>
    <row r="1" spans="1:8" ht="58.5" thickBot="1" x14ac:dyDescent="0.4">
      <c r="A1" s="263" t="s">
        <v>4090</v>
      </c>
      <c r="B1" s="263" t="s">
        <v>4091</v>
      </c>
    </row>
    <row r="2" spans="1:8" ht="15" thickBot="1" x14ac:dyDescent="0.4">
      <c r="C2" s="973" t="s">
        <v>4728</v>
      </c>
      <c r="D2" s="974"/>
      <c r="E2" s="975"/>
      <c r="F2" s="976" t="str">
        <f>IF('Informations générales'!$E$64="","-",'Informations générales'!$E$64)</f>
        <v>-</v>
      </c>
      <c r="G2" s="976"/>
      <c r="H2" s="977"/>
    </row>
    <row r="3" spans="1:8" ht="27" customHeight="1" thickBot="1" x14ac:dyDescent="0.4">
      <c r="C3" s="973" t="s">
        <v>4729</v>
      </c>
      <c r="D3" s="974"/>
      <c r="E3" s="975"/>
      <c r="F3" s="978" t="str">
        <f>IF('Informations générales'!$E$63="","-",'Informations générales'!$E$63)</f>
        <v>-</v>
      </c>
      <c r="G3" s="979"/>
      <c r="H3" s="980"/>
    </row>
    <row r="5" spans="1:8" ht="15" thickBot="1" x14ac:dyDescent="0.4"/>
    <row r="6" spans="1:8" x14ac:dyDescent="0.35">
      <c r="C6" s="586" t="str">
        <f xml:space="preserve"> "B8 – Effectifs : caractéristiques générales - Type de contrat "  &amp; " [obligatoire]"</f>
        <v>B8 – Effectifs : caractéristiques générales - Type de contrat  [obligatoire]</v>
      </c>
      <c r="D6" s="587"/>
      <c r="E6" s="587"/>
      <c r="F6" s="587"/>
      <c r="G6" s="588"/>
      <c r="H6"/>
    </row>
    <row r="7" spans="1:8" x14ac:dyDescent="0.35">
      <c r="C7" s="499" t="s">
        <v>3945</v>
      </c>
      <c r="D7" s="500"/>
      <c r="E7" s="500"/>
      <c r="F7" s="500"/>
      <c r="G7" s="501"/>
    </row>
    <row r="8" spans="1:8" x14ac:dyDescent="0.35">
      <c r="C8" s="612" t="s">
        <v>3946</v>
      </c>
      <c r="D8" s="988"/>
      <c r="E8" s="988"/>
      <c r="F8" s="988"/>
      <c r="G8" s="989"/>
    </row>
    <row r="9" spans="1:8" x14ac:dyDescent="0.35">
      <c r="C9" s="146" t="s">
        <v>4167</v>
      </c>
      <c r="D9" s="990" t="s">
        <v>4059</v>
      </c>
      <c r="E9" s="991"/>
      <c r="F9" s="991"/>
      <c r="G9" s="992"/>
      <c r="H9" s="147"/>
    </row>
    <row r="10" spans="1:8" x14ac:dyDescent="0.35">
      <c r="C10" s="148" t="s">
        <v>4829</v>
      </c>
      <c r="D10" s="894"/>
      <c r="E10" s="895"/>
      <c r="F10" s="895"/>
      <c r="G10" s="896"/>
      <c r="H10" s="13" t="str">
        <f>IF(AND(OR('Informations générales'!E32="Option A (Basic Module only)", 'Informations générales'!E32="Option B (Basic Module and Comprehensive Module)"),D10=""),"MISSING VALUE",IF('Informations générales'!E32="","","OK"))</f>
        <v/>
      </c>
    </row>
    <row r="11" spans="1:8" x14ac:dyDescent="0.35">
      <c r="C11" s="148" t="s">
        <v>4830</v>
      </c>
      <c r="D11" s="993" t="str">
        <f>IFERROR(IF(D10="", "-", $D$12 - $D$10), "-")</f>
        <v>-</v>
      </c>
      <c r="E11" s="994"/>
      <c r="F11" s="994"/>
      <c r="G11" s="995"/>
      <c r="H11" s="13"/>
    </row>
    <row r="12" spans="1:8" ht="15" thickBot="1" x14ac:dyDescent="0.4">
      <c r="C12" s="149" t="s">
        <v>4777</v>
      </c>
      <c r="D12" s="996" t="str">
        <f>IF('Informations générales'!$E$62="", "-", VALUE(SUBSTITUTE('Informations générales'!$E$62, "-", "0")))</f>
        <v>-</v>
      </c>
      <c r="E12" s="996"/>
      <c r="F12" s="996"/>
      <c r="G12" s="997"/>
      <c r="H12" s="16"/>
    </row>
    <row r="13" spans="1:8" ht="15" thickBot="1" x14ac:dyDescent="0.4"/>
    <row r="14" spans="1:8" x14ac:dyDescent="0.35">
      <c r="C14" s="586" t="str">
        <f xml:space="preserve"> "B8 – Effectifs : caractéristiques générales - Sexe " &amp; " [obligatoire]"</f>
        <v>B8 – Effectifs : caractéristiques générales - Sexe  [obligatoire]</v>
      </c>
      <c r="D14" s="587"/>
      <c r="E14" s="587"/>
      <c r="F14" s="587"/>
      <c r="G14" s="588"/>
      <c r="H14"/>
    </row>
    <row r="15" spans="1:8" x14ac:dyDescent="0.35">
      <c r="C15" s="499" t="s">
        <v>3947</v>
      </c>
      <c r="D15" s="500"/>
      <c r="E15" s="500"/>
      <c r="F15" s="500"/>
      <c r="G15" s="501"/>
    </row>
    <row r="16" spans="1:8" x14ac:dyDescent="0.35">
      <c r="C16" s="612" t="s">
        <v>3946</v>
      </c>
      <c r="D16" s="613"/>
      <c r="E16" s="613"/>
      <c r="F16" s="613"/>
      <c r="G16" s="614"/>
    </row>
    <row r="17" spans="3:9" x14ac:dyDescent="0.35">
      <c r="C17" s="150" t="s">
        <v>4168</v>
      </c>
      <c r="D17" s="981" t="s">
        <v>4059</v>
      </c>
      <c r="E17" s="982"/>
      <c r="F17" s="982"/>
      <c r="G17" s="983"/>
    </row>
    <row r="18" spans="3:9" x14ac:dyDescent="0.35">
      <c r="C18" s="151" t="s">
        <v>4169</v>
      </c>
      <c r="D18" s="894"/>
      <c r="E18" s="895"/>
      <c r="F18" s="895"/>
      <c r="G18" s="896"/>
      <c r="H18" s="984" t="str">
        <f>IF(OR('Informations générales'!E32="Option A (Basic Module only)", 'Informations générales'!E32="Option B (Basic Module and Comprehensive Module)"), IF(NumberOfMaleEmployees+NumberOfFemaleEmployees+NumberOfOtherGenderEmployees+NumberOfNonReportedGenderEmployees=D22, "OK", "MISSING VALUE"), "")</f>
        <v/>
      </c>
    </row>
    <row r="19" spans="3:9" x14ac:dyDescent="0.35">
      <c r="C19" s="151" t="s">
        <v>4170</v>
      </c>
      <c r="D19" s="894"/>
      <c r="E19" s="895"/>
      <c r="F19" s="895"/>
      <c r="G19" s="896"/>
      <c r="H19" s="984"/>
    </row>
    <row r="20" spans="3:9" x14ac:dyDescent="0.35">
      <c r="C20" s="151" t="s">
        <v>4171</v>
      </c>
      <c r="D20" s="894"/>
      <c r="E20" s="895"/>
      <c r="F20" s="895"/>
      <c r="G20" s="896"/>
      <c r="H20" s="984"/>
    </row>
    <row r="21" spans="3:9" x14ac:dyDescent="0.35">
      <c r="C21" s="151" t="s">
        <v>4172</v>
      </c>
      <c r="D21" s="985"/>
      <c r="E21" s="986"/>
      <c r="F21" s="986"/>
      <c r="G21" s="987"/>
      <c r="H21" s="984"/>
    </row>
    <row r="22" spans="3:9" ht="15" thickBot="1" x14ac:dyDescent="0.4">
      <c r="C22" s="149" t="s">
        <v>4777</v>
      </c>
      <c r="D22" s="996" t="str">
        <f>IF('Informations générales'!$E$62="","-",'Informations générales'!$E$62)</f>
        <v>-</v>
      </c>
      <c r="E22" s="996"/>
      <c r="F22" s="996"/>
      <c r="G22" s="997"/>
      <c r="H22" s="17"/>
    </row>
    <row r="23" spans="3:9" ht="15" thickBot="1" x14ac:dyDescent="0.4"/>
    <row r="24" spans="3:9" x14ac:dyDescent="0.35">
      <c r="C24" s="1001" t="str">
        <f xml:space="preserve"> "B8 –  Effectifs : caractéristiques générales - Pays du contrat de travail " &amp; " [si pertinent]"</f>
        <v>B8 –  Effectifs : caractéristiques générales - Pays du contrat de travail  [si pertinent]</v>
      </c>
      <c r="D24" s="1002"/>
      <c r="E24" s="1002"/>
      <c r="F24" s="1002"/>
      <c r="G24" s="1002"/>
      <c r="H24" s="1003"/>
    </row>
    <row r="25" spans="3:9" x14ac:dyDescent="0.35">
      <c r="C25" s="686" t="s">
        <v>3948</v>
      </c>
      <c r="D25" s="687"/>
      <c r="E25" s="687"/>
      <c r="F25" s="687"/>
      <c r="G25" s="687"/>
      <c r="H25" s="688"/>
    </row>
    <row r="26" spans="3:9" x14ac:dyDescent="0.35">
      <c r="C26" s="711" t="s">
        <v>3946</v>
      </c>
      <c r="D26" s="712"/>
      <c r="E26" s="712"/>
      <c r="F26" s="712"/>
      <c r="G26" s="712"/>
      <c r="H26" s="767"/>
    </row>
    <row r="27" spans="3:9" x14ac:dyDescent="0.35">
      <c r="C27" s="792" t="s">
        <v>4174</v>
      </c>
      <c r="D27" s="1004"/>
      <c r="E27" s="1005" t="s">
        <v>4059</v>
      </c>
      <c r="F27" s="1005"/>
      <c r="G27" s="1005"/>
      <c r="H27" s="1006"/>
    </row>
    <row r="28" spans="3:9" x14ac:dyDescent="0.35">
      <c r="C28" s="795"/>
      <c r="D28" s="998"/>
      <c r="E28" s="999"/>
      <c r="F28" s="999"/>
      <c r="G28" s="999"/>
      <c r="H28" s="1000"/>
      <c r="I28" s="13" t="str">
        <f>IF(AND(C28="", E28=""), "",
IF(AND(C28&lt;&gt;"", E28=""), "MISSING VALUE",
IF(AND(C28&lt;&gt;"", E28&lt;&gt;""),
   IF($E$28+$E$29+$E$30+$E$31+$E$32+$E$33+$E$34+$E$35+$E$36+$E$37&lt;$E$38, "MISSING VALUE",
   IF(COUNTIF($C$28:$C$37, C28) &gt; 1, "VALUE INCONSISTENCY", "OK")),
"MISSING VALUE")))</f>
        <v/>
      </c>
    </row>
    <row r="29" spans="3:9" x14ac:dyDescent="0.35">
      <c r="C29" s="795"/>
      <c r="D29" s="998"/>
      <c r="E29" s="999"/>
      <c r="F29" s="999"/>
      <c r="G29" s="999"/>
      <c r="H29" s="1000"/>
      <c r="I29" s="13" t="str">
        <f t="shared" ref="I29:I37" si="0">IF(AND(C29="", E29=""), "",
IF(AND(C29&lt;&gt;"", E29=""), "MISSING VALUE",
IF(AND(C29&lt;&gt;"", E29&lt;&gt;""),
   IF($E$28+$E$29+$E$30+$E$31+$E$32+$E$33+$E$34+$E$35+$E$36+$E$37&lt;$E$38, "MISSING VALUE",
   IF(COUNTIF($C$28:$C$37, C29) &gt; 1, "VALUE INCONSISTENCY", "OK")),
"MISSING VALUE")))</f>
        <v/>
      </c>
    </row>
    <row r="30" spans="3:9" x14ac:dyDescent="0.35">
      <c r="C30" s="795"/>
      <c r="D30" s="998"/>
      <c r="E30" s="999"/>
      <c r="F30" s="999"/>
      <c r="G30" s="999"/>
      <c r="H30" s="1000"/>
      <c r="I30" s="13" t="str">
        <f t="shared" si="0"/>
        <v/>
      </c>
    </row>
    <row r="31" spans="3:9" hidden="1" outlineLevel="1" x14ac:dyDescent="0.35">
      <c r="C31" s="795"/>
      <c r="D31" s="998"/>
      <c r="E31" s="999"/>
      <c r="F31" s="999"/>
      <c r="G31" s="999"/>
      <c r="H31" s="1000"/>
      <c r="I31" s="13" t="str">
        <f t="shared" si="0"/>
        <v/>
      </c>
    </row>
    <row r="32" spans="3:9" hidden="1" outlineLevel="1" x14ac:dyDescent="0.35">
      <c r="C32" s="795"/>
      <c r="D32" s="998"/>
      <c r="E32" s="999"/>
      <c r="F32" s="999"/>
      <c r="G32" s="999"/>
      <c r="H32" s="1000"/>
      <c r="I32" s="13" t="str">
        <f t="shared" si="0"/>
        <v/>
      </c>
    </row>
    <row r="33" spans="3:9" hidden="1" outlineLevel="1" x14ac:dyDescent="0.35">
      <c r="C33" s="795"/>
      <c r="D33" s="998"/>
      <c r="E33" s="999"/>
      <c r="F33" s="999"/>
      <c r="G33" s="999"/>
      <c r="H33" s="1000"/>
      <c r="I33" s="13" t="str">
        <f t="shared" si="0"/>
        <v/>
      </c>
    </row>
    <row r="34" spans="3:9" hidden="1" outlineLevel="1" x14ac:dyDescent="0.35">
      <c r="C34" s="795"/>
      <c r="D34" s="998"/>
      <c r="E34" s="999"/>
      <c r="F34" s="999"/>
      <c r="G34" s="999"/>
      <c r="H34" s="1000"/>
      <c r="I34" s="13" t="str">
        <f t="shared" si="0"/>
        <v/>
      </c>
    </row>
    <row r="35" spans="3:9" hidden="1" outlineLevel="1" x14ac:dyDescent="0.35">
      <c r="C35" s="795"/>
      <c r="D35" s="998"/>
      <c r="E35" s="999"/>
      <c r="F35" s="999"/>
      <c r="G35" s="999"/>
      <c r="H35" s="1000"/>
      <c r="I35" s="13" t="str">
        <f t="shared" si="0"/>
        <v/>
      </c>
    </row>
    <row r="36" spans="3:9" hidden="1" outlineLevel="1" x14ac:dyDescent="0.35">
      <c r="C36" s="795"/>
      <c r="D36" s="998"/>
      <c r="E36" s="999"/>
      <c r="F36" s="999"/>
      <c r="G36" s="999"/>
      <c r="H36" s="1000"/>
      <c r="I36" s="13" t="str">
        <f t="shared" si="0"/>
        <v/>
      </c>
    </row>
    <row r="37" spans="3:9" hidden="1" outlineLevel="1" x14ac:dyDescent="0.35">
      <c r="C37" s="795"/>
      <c r="D37" s="998"/>
      <c r="E37" s="999"/>
      <c r="F37" s="999"/>
      <c r="G37" s="999"/>
      <c r="H37" s="1000"/>
      <c r="I37" s="13" t="str">
        <f t="shared" si="0"/>
        <v/>
      </c>
    </row>
    <row r="38" spans="3:9" ht="15" collapsed="1" thickBot="1" x14ac:dyDescent="0.4">
      <c r="C38" s="1011" t="s">
        <v>4777</v>
      </c>
      <c r="D38" s="1012"/>
      <c r="E38" s="1013" t="str">
        <f>IF('Informations générales'!$E$62="","-",'Informations générales'!$E$62)</f>
        <v>-</v>
      </c>
      <c r="F38" s="1013"/>
      <c r="G38" s="1013"/>
      <c r="H38" s="997"/>
      <c r="I38" s="13"/>
    </row>
    <row r="39" spans="3:9" ht="15" thickBot="1" x14ac:dyDescent="0.4"/>
    <row r="40" spans="3:9" x14ac:dyDescent="0.35">
      <c r="C40" s="1001" t="str">
        <f xml:space="preserve"> "B8 – Effectifs : caractéristiques générales - Taux de rotation " &amp; template_reporting_period_display &amp; " [si pertinent]"</f>
        <v>B8 – Effectifs : caractéristiques générales - Taux de rotation du - au - [si pertinent]</v>
      </c>
      <c r="D40" s="1002"/>
      <c r="E40" s="1002"/>
      <c r="F40" s="1002"/>
      <c r="G40" s="1002"/>
      <c r="H40" s="1003"/>
    </row>
    <row r="41" spans="3:9" x14ac:dyDescent="0.35">
      <c r="C41" s="499">
        <v>40</v>
      </c>
      <c r="D41" s="500"/>
      <c r="E41" s="500"/>
      <c r="F41" s="500"/>
      <c r="G41" s="500"/>
      <c r="H41" s="501"/>
    </row>
    <row r="42" spans="3:9" x14ac:dyDescent="0.35">
      <c r="C42" s="612">
        <v>183</v>
      </c>
      <c r="D42" s="613"/>
      <c r="E42" s="613"/>
      <c r="F42" s="613"/>
      <c r="G42" s="613"/>
      <c r="H42" s="614"/>
    </row>
    <row r="43" spans="3:9" x14ac:dyDescent="0.35">
      <c r="C43" s="152" t="s">
        <v>4778</v>
      </c>
      <c r="D43" s="1007"/>
      <c r="E43" s="1007"/>
      <c r="F43" s="1007"/>
      <c r="G43" s="1007"/>
      <c r="H43" s="1008"/>
      <c r="I43" s="13" t="str">
        <f>IF(AND('Informations générales'!$E$62&lt;50, D43=""),"", IF(AND('Informations générales'!$E$62&lt;50, D43&lt;&gt;""),"OK", IF(AND('Informations générales'!$E$62&gt;=50, D43&lt;&gt;""),"OK", "MISSING VALUE")))</f>
        <v/>
      </c>
    </row>
    <row r="44" spans="3:9" x14ac:dyDescent="0.35">
      <c r="C44" s="152" t="s">
        <v>4175</v>
      </c>
      <c r="D44" s="1007"/>
      <c r="E44" s="1007"/>
      <c r="F44" s="1007"/>
      <c r="G44" s="1007"/>
      <c r="H44" s="1008"/>
      <c r="I44" s="13" t="str">
        <f>IF(AND('Informations générales'!$E$62&lt;50, D44=""),"", IF(AND('Informations générales'!$E$62&lt;50, D44&lt;&gt;""),"OK", IF(AND('Informations générales'!$E$62&gt;=50, D44&lt;&gt;""),"OK", "MISSING VALUE")))</f>
        <v/>
      </c>
    </row>
    <row r="45" spans="3:9" x14ac:dyDescent="0.35">
      <c r="C45" s="152" t="s">
        <v>4176</v>
      </c>
      <c r="D45" s="1007"/>
      <c r="E45" s="1007"/>
      <c r="F45" s="1007"/>
      <c r="G45" s="1007"/>
      <c r="H45" s="1008"/>
      <c r="I45" s="13" t="str">
        <f>IF(AND('Informations générales'!$E$62&lt;50, D45=""),"", IF(AND('Informations générales'!$E$62&lt;50, D45&lt;&gt;""),"OK", IF(AND('Informations générales'!$E$62&gt;=50, D45&lt;&gt;""),"OK", "MISSING VALUE")))</f>
        <v/>
      </c>
    </row>
    <row r="46" spans="3:9" ht="15" thickBot="1" x14ac:dyDescent="0.4">
      <c r="C46" s="99" t="s">
        <v>4177</v>
      </c>
      <c r="D46" s="1009" t="str">
        <f>IF(AND(D43&lt;&gt;"",D44&lt;&gt;"",D45&lt;&gt;""),(D43/((D44+D45)/2)),"-")</f>
        <v>-</v>
      </c>
      <c r="E46" s="1009"/>
      <c r="F46" s="1009"/>
      <c r="G46" s="1009"/>
      <c r="H46" s="1010"/>
    </row>
    <row r="47" spans="3:9" ht="15" thickBot="1" x14ac:dyDescent="0.4"/>
    <row r="48" spans="3:9" ht="15" thickBot="1" x14ac:dyDescent="0.4">
      <c r="C48" s="617" t="str">
        <f xml:space="preserve"> "B9 – Effectifs : santé et sécurité " &amp; template_reporting_period_display &amp; " [obligatoire]"</f>
        <v>B9 – Effectifs : santé et sécurité du - au - [obligatoire]</v>
      </c>
      <c r="D48" s="618"/>
      <c r="E48" s="618"/>
      <c r="F48" s="618"/>
      <c r="G48" s="618"/>
      <c r="H48" s="619"/>
    </row>
    <row r="49" spans="1:9" x14ac:dyDescent="0.35">
      <c r="A49" s="248" t="s">
        <v>3949</v>
      </c>
      <c r="B49" s="253" t="s">
        <v>3951</v>
      </c>
      <c r="C49" s="266" t="s">
        <v>4178</v>
      </c>
      <c r="D49" s="1030"/>
      <c r="E49" s="1030"/>
      <c r="F49" s="1030"/>
      <c r="G49" s="1030"/>
      <c r="H49" s="1031"/>
      <c r="I49" s="13" t="str">
        <f>IF(AND(OR('Informations générales'!E32="Option A (Basic Module only)", 'Informations générales'!E32="Option B (Basic Module and Comprehensive Module)"),NumberOfRecordableWorkRelatedAccidentsInTheReportingPeriod=""),"MISSING VALUE",IF('Informations générales'!E32="","","OK"))</f>
        <v/>
      </c>
    </row>
    <row r="50" spans="1:9" ht="29" x14ac:dyDescent="0.35">
      <c r="A50" s="249" t="s">
        <v>3949</v>
      </c>
      <c r="B50" s="253" t="s">
        <v>3951</v>
      </c>
      <c r="C50" s="153" t="s">
        <v>4182</v>
      </c>
      <c r="D50" s="1032">
        <v>2000</v>
      </c>
      <c r="E50" s="1033"/>
      <c r="F50" s="1033"/>
      <c r="G50" s="1033"/>
      <c r="H50" s="1034"/>
      <c r="I50" s="13" t="str">
        <f>IF(D50="", "MISSING VALUE", IF(D50&lt;&gt;2000, "OK", ""))</f>
        <v/>
      </c>
    </row>
    <row r="51" spans="1:9" ht="29" x14ac:dyDescent="0.35">
      <c r="A51" s="249" t="s">
        <v>3949</v>
      </c>
      <c r="B51" s="253" t="s">
        <v>3951</v>
      </c>
      <c r="C51" s="153" t="s">
        <v>4179</v>
      </c>
      <c r="D51" s="1035" t="str">
        <f>IF('Informations générales'!E62="","-",D50*'Informations générales'!E62)</f>
        <v>-</v>
      </c>
      <c r="E51" s="1036"/>
      <c r="F51" s="1036"/>
      <c r="G51" s="1036"/>
      <c r="H51" s="1037"/>
      <c r="I51" s="13"/>
    </row>
    <row r="52" spans="1:9" ht="15" thickBot="1" x14ac:dyDescent="0.4">
      <c r="A52" s="249" t="s">
        <v>3949</v>
      </c>
      <c r="B52" s="253" t="s">
        <v>3951</v>
      </c>
      <c r="C52" s="202" t="s">
        <v>4180</v>
      </c>
      <c r="D52" s="1038" t="str">
        <f>IFERROR(IF(AND(D49&lt;&gt;"", D51&lt;&gt;""), ($D$49/$D$51)*200000, "-"), "-")</f>
        <v>-</v>
      </c>
      <c r="E52" s="1039"/>
      <c r="F52" s="1039"/>
      <c r="G52" s="1039"/>
      <c r="H52" s="1040"/>
    </row>
    <row r="53" spans="1:9" ht="15" thickBot="1" x14ac:dyDescent="0.4">
      <c r="A53" s="248" t="s">
        <v>3950</v>
      </c>
      <c r="B53" s="256" t="s">
        <v>3951</v>
      </c>
      <c r="C53" s="201" t="s">
        <v>4181</v>
      </c>
      <c r="D53" s="1014"/>
      <c r="E53" s="1014"/>
      <c r="F53" s="1014"/>
      <c r="G53" s="1014"/>
      <c r="H53" s="1015"/>
      <c r="I53" s="13" t="str">
        <f>IF(AND(OR('Informations générales'!E32="Option A (Basic Module only)", 'Informations générales'!E32="Option B (Basic Module and Comprehensive Module)"),NumberOfFatalitiesAsAResultOfWorkRelatedInjuriesAndWorkRelatedIllHealth=""),"MISSING VALUE",IF('Informations générales'!E32="","","OK"))</f>
        <v/>
      </c>
    </row>
    <row r="54" spans="1:9" ht="15" thickBot="1" x14ac:dyDescent="0.4"/>
    <row r="55" spans="1:9" x14ac:dyDescent="0.35">
      <c r="C55" s="1016" t="str">
        <f xml:space="preserve"> "B10 – Effectifs : rémunération, négociation collective et formation " &amp; template_reporting_period_display &amp; " [obligatoire + si pertinent]"</f>
        <v>B10 – Effectifs : rémunération, négociation collective et formation du - au - [obligatoire + si pertinent]</v>
      </c>
      <c r="D55" s="1017"/>
      <c r="E55" s="1017"/>
      <c r="F55" s="1017"/>
      <c r="G55" s="1017"/>
      <c r="H55" s="1018"/>
    </row>
    <row r="56" spans="1:9" ht="44" thickBot="1" x14ac:dyDescent="0.4">
      <c r="A56" s="248" t="s">
        <v>3952</v>
      </c>
      <c r="B56" s="248" t="s">
        <v>3955</v>
      </c>
      <c r="C56" s="200" t="s">
        <v>4779</v>
      </c>
      <c r="D56" s="1019"/>
      <c r="E56" s="1019"/>
      <c r="F56" s="1019"/>
      <c r="G56" s="1019"/>
      <c r="H56" s="1020"/>
      <c r="I56" s="13" t="str">
        <f>IF(AND(OR('Informations générales'!E32="Option A (Basic Module only)", 'Informations générales'!E32="Option B (Basic Module and Comprehensive Module)"),EmployeesReceivePayEqualOrAboveMinimumWageDeterminedByNationalLawOrCollectiveAgreement=""),"MISSING VALUE",IF('Informations générales'!E32="","","OK"))</f>
        <v/>
      </c>
    </row>
    <row r="57" spans="1:9" ht="30" customHeight="1" x14ac:dyDescent="0.35">
      <c r="A57" s="259" t="s">
        <v>3953</v>
      </c>
      <c r="B57" s="258" t="s">
        <v>3956</v>
      </c>
      <c r="C57" s="404" t="str">
        <f>"Niveau moyen de rémunération horaire brute des salariés hommes (montant en "&amp;template_currency&amp;")""- Si pertinent"</f>
        <v>Niveau moyen de rémunération horaire brute des salariés hommes (montant en )"- Si pertinent</v>
      </c>
      <c r="D57" s="1021"/>
      <c r="E57" s="1022"/>
      <c r="F57" s="1022"/>
      <c r="G57" s="1022"/>
      <c r="H57" s="1023"/>
      <c r="I57" s="13" t="str">
        <f>IF(AND('Informations générales'!$E$62&lt;150, D57=""),"", IF(AND('Informations générales'!$E$62&lt;150, D57&lt;&gt;""),"OK", IF(AND('Informations générales'!$E$62&gt;=150, D57&lt;&gt;""),"OK", "MISSING VALUE")))</f>
        <v/>
      </c>
    </row>
    <row r="58" spans="1:9" ht="30" customHeight="1" x14ac:dyDescent="0.35">
      <c r="A58" s="259" t="s">
        <v>3953</v>
      </c>
      <c r="B58" s="258" t="s">
        <v>3956</v>
      </c>
      <c r="C58" s="154" t="str">
        <f>"Niveau moyen de rémunération horaire brute des salariés femmes (montant en " &amp; template_currency &amp; ")""- Si pertinent"</f>
        <v>Niveau moyen de rémunération horaire brute des salariés femmes (montant en )"- Si pertinent</v>
      </c>
      <c r="D58" s="1024"/>
      <c r="E58" s="1025"/>
      <c r="F58" s="1025"/>
      <c r="G58" s="1025"/>
      <c r="H58" s="1026"/>
      <c r="I58" s="13" t="str">
        <f>IF(AND('Informations générales'!$E$62&lt;150, D58=""),"", IF(AND('Informations générales'!$E$62&lt;150, D58&lt;&gt;""),"OK", IF(AND('Informations générales'!$E$62&gt;=150, D58&lt;&gt;""),"OK", "MISSING VALUE")))</f>
        <v/>
      </c>
    </row>
    <row r="59" spans="1:9" ht="29.5" thickBot="1" x14ac:dyDescent="0.4">
      <c r="A59" s="259" t="s">
        <v>3953</v>
      </c>
      <c r="B59" s="258" t="s">
        <v>3956</v>
      </c>
      <c r="C59" s="155" t="s">
        <v>4183</v>
      </c>
      <c r="D59" s="1027" t="str">
        <f>IF(AND(D57&lt;&gt;"",D58&lt;&gt;""),((D57-D58)/D57),"-")</f>
        <v>-</v>
      </c>
      <c r="E59" s="1028"/>
      <c r="F59" s="1028"/>
      <c r="G59" s="1028"/>
      <c r="H59" s="1029"/>
    </row>
    <row r="60" spans="1:9" x14ac:dyDescent="0.35">
      <c r="A60" s="1045" t="s">
        <v>3954</v>
      </c>
      <c r="B60" s="988" t="s">
        <v>3957</v>
      </c>
      <c r="C60" s="199" t="s">
        <v>4184</v>
      </c>
      <c r="D60" s="1047"/>
      <c r="E60" s="1048"/>
      <c r="F60" s="1048"/>
      <c r="G60" s="1048"/>
      <c r="H60" s="1049"/>
      <c r="I60" s="13" t="str">
        <f>IF(AND(OR('Informations générales'!E32="Option A (Basic Module only)", 'Informations générales'!E32="Option B (Basic Module and Comprehensive Module)"),D60=""),"MISSING VALUE",IF('Informations générales'!E32="","","OK"))</f>
        <v/>
      </c>
    </row>
    <row r="61" spans="1:9" ht="15" thickBot="1" x14ac:dyDescent="0.4">
      <c r="A61" s="1046"/>
      <c r="B61" s="674"/>
      <c r="C61" s="155" t="s">
        <v>4185</v>
      </c>
      <c r="D61" s="1050" t="str">
        <f>IF(D60&lt;&gt;"", IF('Informations générales'!E62=0, "-", D60/'Informations générales'!E62), "-")</f>
        <v>-</v>
      </c>
      <c r="E61" s="1051"/>
      <c r="F61" s="1051"/>
      <c r="G61" s="1051"/>
      <c r="H61" s="1052"/>
    </row>
    <row r="62" spans="1:9" ht="15" thickBot="1" x14ac:dyDescent="0.4"/>
    <row r="63" spans="1:9" x14ac:dyDescent="0.35">
      <c r="C63" s="1016" t="str">
        <f xml:space="preserve"> "B10 – Effectifs : rémunération, négociation collective et formation " &amp; template_reporting_period_display &amp; " [obligatoire]"</f>
        <v>B10 – Effectifs : rémunération, négociation collective et formation du - au - [obligatoire]</v>
      </c>
      <c r="D63" s="1017"/>
      <c r="E63" s="1017"/>
      <c r="F63" s="1017"/>
      <c r="G63" s="1017"/>
      <c r="H63" s="1018"/>
    </row>
    <row r="64" spans="1:9" x14ac:dyDescent="0.35">
      <c r="C64" s="499" t="s">
        <v>3958</v>
      </c>
      <c r="D64" s="500"/>
      <c r="E64" s="500"/>
      <c r="F64" s="500"/>
      <c r="G64" s="500"/>
      <c r="H64" s="501"/>
    </row>
    <row r="65" spans="1:9" x14ac:dyDescent="0.35">
      <c r="C65" s="156" t="s">
        <v>4168</v>
      </c>
      <c r="D65" s="1041" t="s">
        <v>4186</v>
      </c>
      <c r="E65" s="1041"/>
      <c r="F65" s="1041"/>
      <c r="G65" s="1041"/>
      <c r="H65" s="1042"/>
      <c r="I65" s="13"/>
    </row>
    <row r="66" spans="1:9" x14ac:dyDescent="0.35">
      <c r="C66" s="151" t="s">
        <v>4169</v>
      </c>
      <c r="D66" s="1043"/>
      <c r="E66" s="1043"/>
      <c r="F66" s="1043"/>
      <c r="G66" s="1043"/>
      <c r="H66" s="1044"/>
      <c r="I66" s="939" t="str">
        <f>IF(OR('Informations générales'!E32="Option A (Basic Module only)", 'Informations générales'!E32="Option B (Basic Module and Comprehensive Module)"), IF(OR(D66&lt;&gt;"", D67&lt;&gt;"", D68&lt;&gt;"", D69&lt;&gt;""), "OK", "MISSING VALUE"), "")</f>
        <v/>
      </c>
    </row>
    <row r="67" spans="1:9" x14ac:dyDescent="0.35">
      <c r="C67" s="151" t="s">
        <v>4170</v>
      </c>
      <c r="D67" s="1043"/>
      <c r="E67" s="1043"/>
      <c r="F67" s="1043"/>
      <c r="G67" s="1043"/>
      <c r="H67" s="1044"/>
      <c r="I67" s="939"/>
    </row>
    <row r="68" spans="1:9" x14ac:dyDescent="0.35">
      <c r="C68" s="151" t="s">
        <v>4171</v>
      </c>
      <c r="D68" s="1043"/>
      <c r="E68" s="1043"/>
      <c r="F68" s="1043"/>
      <c r="G68" s="1043"/>
      <c r="H68" s="1044"/>
      <c r="I68" s="939"/>
    </row>
    <row r="69" spans="1:9" x14ac:dyDescent="0.35">
      <c r="C69" s="151" t="s">
        <v>4172</v>
      </c>
      <c r="D69" s="1043"/>
      <c r="E69" s="1043"/>
      <c r="F69" s="1043"/>
      <c r="G69" s="1043"/>
      <c r="H69" s="1044"/>
      <c r="I69" s="939"/>
    </row>
    <row r="70" spans="1:9" x14ac:dyDescent="0.35">
      <c r="C70" s="1070" t="s">
        <v>4187</v>
      </c>
      <c r="D70" s="1071"/>
      <c r="E70" s="1071"/>
      <c r="F70" s="1071"/>
      <c r="G70" s="1071"/>
      <c r="H70" s="1072"/>
      <c r="I70" s="13"/>
    </row>
    <row r="71" spans="1:9" ht="15" thickBot="1" x14ac:dyDescent="0.4">
      <c r="C71" s="1073" t="str">
        <f>IFERROR(
    IF(
        AND(D18&lt;&gt;"",D18&lt;&gt;0,D19&lt;&gt;"",D19&lt;&gt;0,D20&lt;&gt;"",D20&lt;&gt;0,D21&lt;&gt;"",D21&lt;&gt;0),
        AVERAGE(D66:D69),
        IF(OR(D18="", D18=0), AVERAGE(D67:D69),
        IF(OR(D19="", D19=0), AVERAGE(D66,D68,D69),
        IF(OR(D20="", D20=0), AVERAGE(D66,D67,D69),
        IF(OR(D21="", D21=0), AVERAGE(D66,D67,D68), "-"))))
    ),
"-")</f>
        <v>-</v>
      </c>
      <c r="D71" s="1074"/>
      <c r="E71" s="1074"/>
      <c r="F71" s="1074"/>
      <c r="G71" s="1074"/>
      <c r="H71" s="1075"/>
      <c r="I71" s="13"/>
    </row>
    <row r="72" spans="1:9" ht="15" thickBot="1" x14ac:dyDescent="0.4"/>
    <row r="73" spans="1:9" ht="15" thickBot="1" x14ac:dyDescent="0.4">
      <c r="C73" s="1076" t="str">
        <f xml:space="preserve"> "C5 – Caractéristiques supplémentaires (générales) des effectifs " &amp; template_reporting_period_display &amp; " [facultatif]"</f>
        <v>C5 – Caractéristiques supplémentaires (générales) des effectifs du - au - [facultatif]</v>
      </c>
      <c r="D73" s="1077"/>
      <c r="E73" s="1077"/>
      <c r="F73" s="1077"/>
      <c r="G73" s="1077"/>
      <c r="H73" s="1078"/>
    </row>
    <row r="74" spans="1:9" x14ac:dyDescent="0.35">
      <c r="A74" s="259">
        <v>59</v>
      </c>
      <c r="B74" s="257" t="s">
        <v>3959</v>
      </c>
      <c r="C74" s="157" t="s">
        <v>4188</v>
      </c>
      <c r="D74" s="1021"/>
      <c r="E74" s="1022"/>
      <c r="F74" s="1022"/>
      <c r="G74" s="1022"/>
      <c r="H74" s="1023"/>
      <c r="I74" s="13" t="str">
        <f>IF(D74&lt;&gt;"", "OK", "")</f>
        <v/>
      </c>
    </row>
    <row r="75" spans="1:9" x14ac:dyDescent="0.35">
      <c r="A75" s="259">
        <v>59</v>
      </c>
      <c r="B75" s="257" t="s">
        <v>3959</v>
      </c>
      <c r="C75" s="158" t="s">
        <v>4189</v>
      </c>
      <c r="D75" s="1024"/>
      <c r="E75" s="1025"/>
      <c r="F75" s="1025"/>
      <c r="G75" s="1025"/>
      <c r="H75" s="1026"/>
      <c r="I75" s="13" t="str">
        <f>IF(D75&lt;&gt;"", "OK", "")</f>
        <v/>
      </c>
    </row>
    <row r="76" spans="1:9" ht="15" thickBot="1" x14ac:dyDescent="0.4">
      <c r="A76" s="259">
        <v>59</v>
      </c>
      <c r="B76" s="257" t="s">
        <v>3959</v>
      </c>
      <c r="C76" s="155" t="s">
        <v>4190</v>
      </c>
      <c r="D76" s="1027" t="str">
        <f>IF(AND(D74&lt;&gt;"",D75&lt;&gt;""),$D$75/$D$74,"-")</f>
        <v>-</v>
      </c>
      <c r="E76" s="1028"/>
      <c r="F76" s="1028"/>
      <c r="G76" s="1028"/>
      <c r="H76" s="1029"/>
    </row>
    <row r="77" spans="1:9" ht="29" x14ac:dyDescent="0.35">
      <c r="A77" s="248">
        <v>60</v>
      </c>
      <c r="B77" s="253" t="s">
        <v>3960</v>
      </c>
      <c r="C77" s="159" t="s">
        <v>4191</v>
      </c>
      <c r="D77" s="1053"/>
      <c r="E77" s="1054"/>
      <c r="F77" s="1054"/>
      <c r="G77" s="1054"/>
      <c r="H77" s="1055"/>
      <c r="I77" s="13" t="str">
        <f>IF(D77&lt;&gt;"", "OK", "")</f>
        <v/>
      </c>
    </row>
    <row r="78" spans="1:9" ht="29.5" thickBot="1" x14ac:dyDescent="0.4">
      <c r="A78" s="248">
        <v>60</v>
      </c>
      <c r="B78" s="256" t="s">
        <v>3960</v>
      </c>
      <c r="C78" s="160" t="s">
        <v>4192</v>
      </c>
      <c r="D78" s="1056"/>
      <c r="E78" s="1057"/>
      <c r="F78" s="1057"/>
      <c r="G78" s="1057"/>
      <c r="H78" s="1058"/>
      <c r="I78" s="13" t="str">
        <f>IF(D78&lt;&gt;"", "OK", "")</f>
        <v/>
      </c>
    </row>
    <row r="79" spans="1:9" ht="15" thickBot="1" x14ac:dyDescent="0.4"/>
    <row r="80" spans="1:9" x14ac:dyDescent="0.35">
      <c r="C80" s="1059" t="str">
        <f xml:space="preserve"> "C6 – Informations complémentaires sur les effectifs de l’entreprise – Politiques et procédures en matière de droits de l’homme " &amp; template_reporting_period_display &amp; " [obligatoire]"</f>
        <v>C6 – Informations complémentaires sur les effectifs de l’entreprise – Politiques et procédures en matière de droits de l’homme du - au - [obligatoire]</v>
      </c>
      <c r="D80" s="1060"/>
      <c r="E80" s="1060"/>
      <c r="F80" s="1060"/>
      <c r="G80" s="1060"/>
      <c r="H80" s="1061"/>
    </row>
    <row r="81" spans="1:9" ht="29" x14ac:dyDescent="0.35">
      <c r="A81" s="248" t="s">
        <v>3961</v>
      </c>
      <c r="B81" s="253">
        <v>237</v>
      </c>
      <c r="C81" s="161" t="s">
        <v>4193</v>
      </c>
      <c r="D81" s="1062"/>
      <c r="E81" s="1063"/>
      <c r="F81" s="1063"/>
      <c r="G81" s="1063"/>
      <c r="H81" s="1064"/>
      <c r="I81" s="13" t="str">
        <f>IF(AND('Informations générales'!$E$32="Option B (Basic Module and Comprehensive Module)",D81&lt;&gt;""),"OK",IF(AND('Informations générales'!$E$32="Option B (Basic Module and Comprehensive Module)",D81=""),"MISSING VALUE",IF(AND('Informations générales'!$E$32="Option A (Basic Module only)",D81&lt;&gt;""),"OK","")))</f>
        <v/>
      </c>
    </row>
    <row r="82" spans="1:9" x14ac:dyDescent="0.35">
      <c r="A82" s="249" t="s">
        <v>3962</v>
      </c>
      <c r="B82" s="253">
        <v>237</v>
      </c>
      <c r="C82" s="125" t="s">
        <v>4194</v>
      </c>
      <c r="D82" s="1065"/>
      <c r="E82" s="1066"/>
      <c r="F82" s="1066"/>
      <c r="G82" s="1066"/>
      <c r="H82" s="1067"/>
    </row>
    <row r="83" spans="1:9" x14ac:dyDescent="0.35">
      <c r="A83" s="249" t="s">
        <v>3962</v>
      </c>
      <c r="B83" s="253">
        <v>237</v>
      </c>
      <c r="C83" s="162" t="s">
        <v>4195</v>
      </c>
      <c r="D83" s="1068" t="b">
        <v>0</v>
      </c>
      <c r="E83" s="1068"/>
      <c r="F83" s="1068"/>
      <c r="G83" s="1068"/>
      <c r="H83" s="1069"/>
      <c r="I83" s="939" t="str" cm="1">
        <f t="array" ref="I83">IF(AND(OR(D83=TRUE,D84=TRUE,D85=TRUE,D86=TRUE,D87=TRUE,D88=TRUE),D81="YES"),"OK",
IF(AND(D83=FALSE,D84=FALSE,D85=FALSE,D86=FALSE,D87=FALSE,D88=FALSE,D81="YES"),"MISSING VALUE",
IF(AND(D83=FALSE,D84=FALSE,D85=FALSE,D86=FALSE,D87=FALSE,D88=FALSE,D81="NO"),"",
IF(AND(D83=FALSE,D84=FALSE,D85=FALSE,D86=FALSE,D87=FALSE,D88=FALSE,D81=""),"",IF(AND(OR(D83:D88=TRUE),D81=""),"",
"VALUE INCONSISTENCY")))))</f>
        <v/>
      </c>
    </row>
    <row r="84" spans="1:9" x14ac:dyDescent="0.35">
      <c r="A84" s="249" t="s">
        <v>3962</v>
      </c>
      <c r="B84" s="253">
        <v>237</v>
      </c>
      <c r="C84" s="162" t="s">
        <v>4196</v>
      </c>
      <c r="D84" s="1068" t="b">
        <v>0</v>
      </c>
      <c r="E84" s="1068"/>
      <c r="F84" s="1068"/>
      <c r="G84" s="1068"/>
      <c r="H84" s="1069"/>
      <c r="I84" s="939"/>
    </row>
    <row r="85" spans="1:9" x14ac:dyDescent="0.35">
      <c r="A85" s="249" t="s">
        <v>3962</v>
      </c>
      <c r="B85" s="253">
        <v>237</v>
      </c>
      <c r="C85" s="162" t="s">
        <v>4203</v>
      </c>
      <c r="D85" s="1068" t="b">
        <v>0</v>
      </c>
      <c r="E85" s="1068"/>
      <c r="F85" s="1068"/>
      <c r="G85" s="1068"/>
      <c r="H85" s="1069"/>
      <c r="I85" s="939"/>
    </row>
    <row r="86" spans="1:9" x14ac:dyDescent="0.35">
      <c r="A86" s="249" t="s">
        <v>3962</v>
      </c>
      <c r="B86" s="253">
        <v>237</v>
      </c>
      <c r="C86" s="162" t="s">
        <v>4197</v>
      </c>
      <c r="D86" s="1068" t="b">
        <v>0</v>
      </c>
      <c r="E86" s="1068"/>
      <c r="F86" s="1068"/>
      <c r="G86" s="1068"/>
      <c r="H86" s="1069"/>
      <c r="I86" s="939"/>
    </row>
    <row r="87" spans="1:9" x14ac:dyDescent="0.35">
      <c r="A87" s="249" t="s">
        <v>3962</v>
      </c>
      <c r="B87" s="253">
        <v>237</v>
      </c>
      <c r="C87" s="163" t="s">
        <v>4198</v>
      </c>
      <c r="D87" s="1086" t="b">
        <v>0</v>
      </c>
      <c r="E87" s="1068"/>
      <c r="F87" s="1068"/>
      <c r="G87" s="1068"/>
      <c r="H87" s="1069"/>
      <c r="I87" s="939"/>
    </row>
    <row r="88" spans="1:9" x14ac:dyDescent="0.35">
      <c r="A88" s="249" t="s">
        <v>3962</v>
      </c>
      <c r="B88" s="253">
        <v>237</v>
      </c>
      <c r="C88" s="164" t="s">
        <v>4199</v>
      </c>
      <c r="D88" s="1068" t="b">
        <v>0</v>
      </c>
      <c r="E88" s="1068"/>
      <c r="F88" s="1068"/>
      <c r="G88" s="1068"/>
      <c r="H88" s="1069"/>
      <c r="I88" s="939"/>
    </row>
    <row r="89" spans="1:9" ht="33.65" customHeight="1" x14ac:dyDescent="0.35">
      <c r="A89" s="249" t="s">
        <v>3962</v>
      </c>
      <c r="B89" s="253">
        <v>237</v>
      </c>
      <c r="C89" s="97" t="s">
        <v>4200</v>
      </c>
      <c r="D89" s="1079"/>
      <c r="E89" s="1079"/>
      <c r="F89" s="1079"/>
      <c r="G89" s="1079"/>
      <c r="H89" s="1080"/>
      <c r="I89" s="13" t="str">
        <f>IF(AND(D88=TRUE,D89&lt;&gt;""),"OK",IF(AND(D88=TRUE,D89=""),"MISSING VALUE",IF(AND(D88=FALSE,D89&lt;&gt;""),"MISSING VALUE","")))</f>
        <v/>
      </c>
    </row>
    <row r="90" spans="1:9" ht="31.15" customHeight="1" thickBot="1" x14ac:dyDescent="0.4">
      <c r="A90" s="250" t="s">
        <v>3963</v>
      </c>
      <c r="B90" s="256">
        <v>237</v>
      </c>
      <c r="C90" s="165" t="s">
        <v>4201</v>
      </c>
      <c r="D90" s="1081"/>
      <c r="E90" s="1082"/>
      <c r="F90" s="1082"/>
      <c r="G90" s="1082"/>
      <c r="H90" s="1083"/>
      <c r="I90" s="13" t="str">
        <f>IF(AND('Informations générales'!$E$32="Option B (Basic Module and Comprehensive Module)",D90&lt;&gt;""),"OK",IF(AND('Informations générales'!$E$32="Option B (Basic Module and Comprehensive Module)",D90=""),"MISSING VALUE",IF(AND('Informations générales'!$E$32="Option A (Basic Module only)",D90&lt;&gt;""),"OK","")))</f>
        <v/>
      </c>
    </row>
    <row r="91" spans="1:9" ht="15" thickBot="1" x14ac:dyDescent="0.4"/>
    <row r="92" spans="1:9" x14ac:dyDescent="0.35">
      <c r="C92" s="1059" t="str">
        <f xml:space="preserve"> "C7 – Incidents graves en matière de droits de l’homme " &amp; template_reporting_period_display &amp; " [obligatoire]"</f>
        <v>C7 – Incidents graves en matière de droits de l’homme du - au - [obligatoire]</v>
      </c>
      <c r="D92" s="1060"/>
      <c r="E92" s="1060"/>
      <c r="F92" s="1060"/>
      <c r="G92" s="1060"/>
      <c r="H92" s="1061"/>
    </row>
    <row r="93" spans="1:9" x14ac:dyDescent="0.35">
      <c r="A93" s="248">
        <v>62</v>
      </c>
      <c r="B93" s="253">
        <v>238</v>
      </c>
      <c r="C93" s="166" t="s">
        <v>4205</v>
      </c>
      <c r="D93" s="869"/>
      <c r="E93" s="869"/>
      <c r="F93" s="869"/>
      <c r="G93" s="869"/>
      <c r="H93" s="1084"/>
      <c r="I93" s="13" t="str">
        <f>IF(AND('Informations générales'!$E$32="Option B (Basic Module and Comprehensive Module)",D93&lt;&gt;""),"OK",IF(AND('Informations générales'!$E$32="Option B (Basic Module and Comprehensive Module)",D93=""),"MISSING VALUE",IF(AND('Informations générales'!$E$32="Option A (Basic Module only)",D93&lt;&gt;""),"OK","")))</f>
        <v/>
      </c>
    </row>
    <row r="94" spans="1:9" x14ac:dyDescent="0.35">
      <c r="A94" s="248" t="s">
        <v>3964</v>
      </c>
      <c r="B94" s="253">
        <v>238</v>
      </c>
      <c r="C94" s="166" t="s">
        <v>4202</v>
      </c>
      <c r="D94" s="1065"/>
      <c r="E94" s="1066"/>
      <c r="F94" s="1066"/>
      <c r="G94" s="1066"/>
      <c r="H94" s="1067"/>
    </row>
    <row r="95" spans="1:9" x14ac:dyDescent="0.35">
      <c r="A95" s="248" t="s">
        <v>3964</v>
      </c>
      <c r="B95" s="253">
        <v>238</v>
      </c>
      <c r="C95" s="164" t="s">
        <v>4195</v>
      </c>
      <c r="D95" s="845" t="b">
        <v>0</v>
      </c>
      <c r="E95" s="845"/>
      <c r="F95" s="845"/>
      <c r="G95" s="845"/>
      <c r="H95" s="1085"/>
      <c r="I95" s="939" t="str" cm="1">
        <f t="array" ref="I95">IF(AND(OR(D95=TRUE,D96=TRUE,D97=TRUE,D98=TRUE,D99=TRUE),D93="YES"),"OK",
IF(AND(D95=FALSE,D96=FALSE,D97=FALSE,D98=FALSE,D99=FALSE,D93="YES"),"MISSING VALUE",IF(AND(D95=FALSE,D96=FALSE,D97=FALSE,D98=FALSE,D99=FALSE,D93=""),"",
IF(AND(D95=FALSE,D96=FALSE,D97=FALSE,D98=FALSE,D99=FALSE,D93="NO"),"",IF(AND(OR(D95:D99=TRUE),D93=""),"",
"VALUE INCONSISTENCY")))))</f>
        <v/>
      </c>
    </row>
    <row r="96" spans="1:9" x14ac:dyDescent="0.35">
      <c r="A96" s="248" t="s">
        <v>3964</v>
      </c>
      <c r="B96" s="253">
        <v>238</v>
      </c>
      <c r="C96" s="164" t="s">
        <v>4196</v>
      </c>
      <c r="D96" s="845" t="b">
        <v>0</v>
      </c>
      <c r="E96" s="845"/>
      <c r="F96" s="845"/>
      <c r="G96" s="845"/>
      <c r="H96" s="1085"/>
      <c r="I96" s="939"/>
    </row>
    <row r="97" spans="1:9" x14ac:dyDescent="0.35">
      <c r="A97" s="248" t="s">
        <v>3964</v>
      </c>
      <c r="B97" s="253">
        <v>238</v>
      </c>
      <c r="C97" s="164" t="s">
        <v>4203</v>
      </c>
      <c r="D97" s="845" t="b">
        <v>0</v>
      </c>
      <c r="E97" s="845"/>
      <c r="F97" s="845"/>
      <c r="G97" s="845"/>
      <c r="H97" s="1085"/>
      <c r="I97" s="939"/>
    </row>
    <row r="98" spans="1:9" x14ac:dyDescent="0.35">
      <c r="A98" s="248" t="s">
        <v>3964</v>
      </c>
      <c r="B98" s="253">
        <v>238</v>
      </c>
      <c r="C98" s="164" t="s">
        <v>4197</v>
      </c>
      <c r="D98" s="845" t="b">
        <v>0</v>
      </c>
      <c r="E98" s="845"/>
      <c r="F98" s="845"/>
      <c r="G98" s="845"/>
      <c r="H98" s="1085"/>
      <c r="I98" s="939"/>
    </row>
    <row r="99" spans="1:9" x14ac:dyDescent="0.35">
      <c r="A99" s="248" t="s">
        <v>3964</v>
      </c>
      <c r="B99" s="253">
        <v>238</v>
      </c>
      <c r="C99" s="164" t="s">
        <v>4199</v>
      </c>
      <c r="D99" s="845" t="b">
        <v>0</v>
      </c>
      <c r="E99" s="845"/>
      <c r="F99" s="845"/>
      <c r="G99" s="845"/>
      <c r="H99" s="1085"/>
      <c r="I99" s="939"/>
    </row>
    <row r="100" spans="1:9" x14ac:dyDescent="0.35">
      <c r="A100" s="248" t="s">
        <v>3964</v>
      </c>
      <c r="B100" s="253">
        <v>238</v>
      </c>
      <c r="C100" s="97" t="s">
        <v>4206</v>
      </c>
      <c r="D100" s="1092"/>
      <c r="E100" s="1092"/>
      <c r="F100" s="1092"/>
      <c r="G100" s="1092"/>
      <c r="H100" s="1093"/>
      <c r="I100" s="13" t="str">
        <f>IF(AND(D99=TRUE,D100&lt;&gt;""),"OK",IF(AND(D99=TRUE,D100=""),"MISSING VALUE",IF(AND(D99=FALSE,D100&lt;&gt;""),"MISSING VALUE","")))</f>
        <v/>
      </c>
    </row>
    <row r="101" spans="1:9" x14ac:dyDescent="0.35">
      <c r="A101" s="260" t="s">
        <v>3965</v>
      </c>
      <c r="B101" s="253">
        <v>238</v>
      </c>
      <c r="C101" s="97" t="s">
        <v>4207</v>
      </c>
      <c r="D101" s="1087"/>
      <c r="E101" s="1088"/>
      <c r="F101" s="1088"/>
      <c r="G101" s="1088"/>
      <c r="H101" s="1089"/>
      <c r="I101" s="13" t="str">
        <f>IF(D101&lt;&gt;"","OK","")</f>
        <v/>
      </c>
    </row>
    <row r="102" spans="1:9" ht="35.15" customHeight="1" x14ac:dyDescent="0.35">
      <c r="A102" s="248" t="s">
        <v>3903</v>
      </c>
      <c r="B102" s="253">
        <v>238</v>
      </c>
      <c r="C102" s="402" t="s">
        <v>4204</v>
      </c>
      <c r="D102" s="869"/>
      <c r="E102" s="869"/>
      <c r="F102" s="869"/>
      <c r="G102" s="869"/>
      <c r="H102" s="1084"/>
      <c r="I102" s="13" t="str">
        <f>IF(AND('Informations générales'!$E$32="Option B (Basic Module and Comprehensive Module)",D102&lt;&gt;""),"OK",IF(AND('Informations générales'!$E$32="Option B (Basic Module and Comprehensive Module)",D102=""),"MISSING VALUE",IF(AND('Informations générales'!$E$32="Option A (Basic Module only)",D102&lt;&gt;""),"OK","")))</f>
        <v/>
      </c>
    </row>
    <row r="103" spans="1:9" ht="29.5" thickBot="1" x14ac:dyDescent="0.4">
      <c r="A103" s="248" t="s">
        <v>3903</v>
      </c>
      <c r="B103" s="256">
        <v>238</v>
      </c>
      <c r="C103" s="238" t="s">
        <v>4208</v>
      </c>
      <c r="D103" s="1090"/>
      <c r="E103" s="1090"/>
      <c r="F103" s="1090"/>
      <c r="G103" s="1090"/>
      <c r="H103" s="1091"/>
      <c r="I103" s="13" t="str">
        <f>IF(AND(D102="YES",D103&lt;&gt;""),"OK",IF(AND(D102="YES",D103=""),"MISSING VALUE",IF(AND(D102="NO",D103&lt;&gt;""),"MISSING VALUE","")))</f>
        <v/>
      </c>
    </row>
    <row r="106" spans="1:9" ht="15" thickBot="1" x14ac:dyDescent="0.4"/>
    <row r="107" spans="1:9" x14ac:dyDescent="0.35">
      <c r="C107" s="520" t="str">
        <f>+ "Autres informations sociales ou informations sociales spécifiques à l'entité " &amp; template_reporting_period_display &amp; " [facultatif] "</f>
        <v xml:space="preserve">Autres informations sociales ou informations sociales spécifiques à l'entité du - au - [facultatif] </v>
      </c>
      <c r="D107" s="521"/>
      <c r="E107" s="521"/>
      <c r="F107" s="521"/>
      <c r="G107" s="521"/>
      <c r="H107" s="522"/>
    </row>
    <row r="108" spans="1:9" x14ac:dyDescent="0.35">
      <c r="C108" s="678">
        <v>10</v>
      </c>
      <c r="D108" s="518"/>
      <c r="E108" s="518"/>
      <c r="F108" s="518"/>
      <c r="G108" s="518"/>
      <c r="H108" s="519"/>
    </row>
    <row r="109" spans="1:9" ht="15" thickBot="1" x14ac:dyDescent="0.4">
      <c r="C109" s="514"/>
      <c r="D109" s="515"/>
      <c r="E109" s="515"/>
      <c r="F109" s="515"/>
      <c r="G109" s="515"/>
      <c r="H109" s="930"/>
      <c r="I109" s="13" t="str">
        <f>IF(C109&lt;&gt;"", "OK", "")</f>
        <v/>
      </c>
    </row>
  </sheetData>
  <sheetProtection formatColumns="0" formatRows="0" insertRows="0"/>
  <mergeCells count="114">
    <mergeCell ref="D101:H101"/>
    <mergeCell ref="D102:H102"/>
    <mergeCell ref="D103:H103"/>
    <mergeCell ref="C107:H107"/>
    <mergeCell ref="C108:H108"/>
    <mergeCell ref="C109:H109"/>
    <mergeCell ref="I95:I99"/>
    <mergeCell ref="D96:H96"/>
    <mergeCell ref="D97:H97"/>
    <mergeCell ref="D98:H98"/>
    <mergeCell ref="D99:H99"/>
    <mergeCell ref="D100:H100"/>
    <mergeCell ref="D89:H89"/>
    <mergeCell ref="D90:H90"/>
    <mergeCell ref="C92:H92"/>
    <mergeCell ref="D93:H93"/>
    <mergeCell ref="D94:H94"/>
    <mergeCell ref="D95:H95"/>
    <mergeCell ref="I83:I88"/>
    <mergeCell ref="D84:H84"/>
    <mergeCell ref="D85:H85"/>
    <mergeCell ref="D86:H86"/>
    <mergeCell ref="D87:H87"/>
    <mergeCell ref="D88:H88"/>
    <mergeCell ref="D77:H77"/>
    <mergeCell ref="D78:H78"/>
    <mergeCell ref="C80:H80"/>
    <mergeCell ref="D81:H81"/>
    <mergeCell ref="D82:H82"/>
    <mergeCell ref="D83:H83"/>
    <mergeCell ref="C70:H70"/>
    <mergeCell ref="C71:H71"/>
    <mergeCell ref="C73:H73"/>
    <mergeCell ref="D74:H74"/>
    <mergeCell ref="D75:H75"/>
    <mergeCell ref="D76:H76"/>
    <mergeCell ref="D65:H65"/>
    <mergeCell ref="D66:H66"/>
    <mergeCell ref="I66:I69"/>
    <mergeCell ref="D67:H67"/>
    <mergeCell ref="D68:H68"/>
    <mergeCell ref="D69:H69"/>
    <mergeCell ref="A60:A61"/>
    <mergeCell ref="B60:B61"/>
    <mergeCell ref="D60:H60"/>
    <mergeCell ref="D61:H61"/>
    <mergeCell ref="C63:H63"/>
    <mergeCell ref="C64:H64"/>
    <mergeCell ref="D53:H53"/>
    <mergeCell ref="C55:H55"/>
    <mergeCell ref="D56:H56"/>
    <mergeCell ref="D57:H57"/>
    <mergeCell ref="D58:H58"/>
    <mergeCell ref="D59:H59"/>
    <mergeCell ref="C48:H48"/>
    <mergeCell ref="D49:H49"/>
    <mergeCell ref="D50:H50"/>
    <mergeCell ref="D51:H51"/>
    <mergeCell ref="D52:H52"/>
    <mergeCell ref="C42:H42"/>
    <mergeCell ref="D43:H43"/>
    <mergeCell ref="D44:H44"/>
    <mergeCell ref="D45:H45"/>
    <mergeCell ref="D46:H46"/>
    <mergeCell ref="C37:D37"/>
    <mergeCell ref="E37:H37"/>
    <mergeCell ref="C38:D38"/>
    <mergeCell ref="E38:H38"/>
    <mergeCell ref="C40:H40"/>
    <mergeCell ref="C41:H41"/>
    <mergeCell ref="C34:D34"/>
    <mergeCell ref="E34:H34"/>
    <mergeCell ref="C35:D35"/>
    <mergeCell ref="E35:H35"/>
    <mergeCell ref="C36:D36"/>
    <mergeCell ref="E36:H36"/>
    <mergeCell ref="C31:D31"/>
    <mergeCell ref="E31:H31"/>
    <mergeCell ref="C32:D32"/>
    <mergeCell ref="E32:H32"/>
    <mergeCell ref="C33:D33"/>
    <mergeCell ref="E33:H33"/>
    <mergeCell ref="C28:D28"/>
    <mergeCell ref="E28:H28"/>
    <mergeCell ref="C29:D29"/>
    <mergeCell ref="E29:H29"/>
    <mergeCell ref="C30:D30"/>
    <mergeCell ref="E30:H30"/>
    <mergeCell ref="D22:G22"/>
    <mergeCell ref="C24:H24"/>
    <mergeCell ref="C25:H25"/>
    <mergeCell ref="C26:H26"/>
    <mergeCell ref="C27:D27"/>
    <mergeCell ref="E27:H27"/>
    <mergeCell ref="D18:G18"/>
    <mergeCell ref="H18:H21"/>
    <mergeCell ref="D19:G19"/>
    <mergeCell ref="D20:G20"/>
    <mergeCell ref="D21:G21"/>
    <mergeCell ref="C8:G8"/>
    <mergeCell ref="D9:G9"/>
    <mergeCell ref="D10:G10"/>
    <mergeCell ref="D11:G11"/>
    <mergeCell ref="D12:G12"/>
    <mergeCell ref="C14:G14"/>
    <mergeCell ref="C2:E2"/>
    <mergeCell ref="F2:H2"/>
    <mergeCell ref="C3:E3"/>
    <mergeCell ref="F3:H3"/>
    <mergeCell ref="C6:G6"/>
    <mergeCell ref="C7:G7"/>
    <mergeCell ref="C15:G15"/>
    <mergeCell ref="C16:G16"/>
    <mergeCell ref="D17:G17"/>
  </mergeCells>
  <conditionalFormatting sqref="D89">
    <cfRule type="expression" dxfId="149" priority="25">
      <formula>$D$88=TRUE</formula>
    </cfRule>
  </conditionalFormatting>
  <conditionalFormatting sqref="D100:D101">
    <cfRule type="expression" dxfId="148" priority="14">
      <formula>$D$99=TRUE</formula>
    </cfRule>
  </conditionalFormatting>
  <conditionalFormatting sqref="D103">
    <cfRule type="expression" dxfId="147" priority="13">
      <formula>$D$102="YES"</formula>
    </cfRule>
  </conditionalFormatting>
  <conditionalFormatting sqref="D83:H88">
    <cfRule type="expression" dxfId="144" priority="30">
      <formula>$D$81="YES"</formula>
    </cfRule>
  </conditionalFormatting>
  <conditionalFormatting sqref="D95:H99">
    <cfRule type="expression" dxfId="143" priority="19">
      <formula>$D$93="YES"</formula>
    </cfRule>
  </conditionalFormatting>
  <conditionalFormatting sqref="D101:H101">
    <cfRule type="expression" dxfId="141" priority="6">
      <formula>$D$93="YES"</formula>
    </cfRule>
  </conditionalFormatting>
  <conditionalFormatting sqref="E28:H37">
    <cfRule type="expression" dxfId="140" priority="56">
      <formula>$C28&lt;&gt;""</formula>
    </cfRule>
  </conditionalFormatting>
  <conditionalFormatting sqref="E29:H37">
    <cfRule type="expression" dxfId="139" priority="57">
      <formula>$D29=""</formula>
    </cfRule>
  </conditionalFormatting>
  <conditionalFormatting sqref="H10:H11">
    <cfRule type="expression" dxfId="138" priority="67">
      <formula>$H10="MISSING VALUE"</formula>
    </cfRule>
    <cfRule type="expression" dxfId="137" priority="68">
      <formula>$H10="OK"</formula>
    </cfRule>
  </conditionalFormatting>
  <conditionalFormatting sqref="H12">
    <cfRule type="expression" dxfId="136" priority="70">
      <formula>$H$12="VALUE INCONSISTENCY"</formula>
    </cfRule>
    <cfRule type="expression" dxfId="135" priority="69">
      <formula>$H$12="OK"</formula>
    </cfRule>
  </conditionalFormatting>
  <conditionalFormatting sqref="H18:H21">
    <cfRule type="expression" dxfId="134" priority="62">
      <formula>$H$18="MISSING VALUE"</formula>
    </cfRule>
    <cfRule type="expression" dxfId="133" priority="63">
      <formula>$H$18="OK"</formula>
    </cfRule>
  </conditionalFormatting>
  <conditionalFormatting sqref="H22">
    <cfRule type="expression" dxfId="132" priority="65">
      <formula>$H$22="MISSING VALUE"</formula>
    </cfRule>
    <cfRule type="expression" dxfId="131" priority="64">
      <formula>$H$22="VALUE INCONSISTENCY"</formula>
    </cfRule>
    <cfRule type="expression" dxfId="130" priority="66">
      <formula>$H$22="OK"</formula>
    </cfRule>
  </conditionalFormatting>
  <conditionalFormatting sqref="I28:I37">
    <cfRule type="expression" dxfId="129" priority="1">
      <formula>$I28="VALUE INCONSISTENCY"</formula>
    </cfRule>
    <cfRule type="expression" dxfId="128" priority="60">
      <formula>$I28="OK"</formula>
    </cfRule>
    <cfRule type="expression" dxfId="127" priority="61">
      <formula>$I28="MISSING VALUE"</formula>
    </cfRule>
  </conditionalFormatting>
  <conditionalFormatting sqref="I38">
    <cfRule type="expression" dxfId="126" priority="59">
      <formula>$I$38="VALUE INCONSISTENCY"</formula>
    </cfRule>
    <cfRule type="expression" dxfId="125" priority="58">
      <formula>$I$38="OK"</formula>
    </cfRule>
  </conditionalFormatting>
  <conditionalFormatting sqref="I43:I45">
    <cfRule type="expression" dxfId="124" priority="54">
      <formula>$I43="MISSING VALUE"</formula>
    </cfRule>
    <cfRule type="expression" dxfId="123" priority="55">
      <formula>$I43="OK"</formula>
    </cfRule>
  </conditionalFormatting>
  <conditionalFormatting sqref="I49:I50">
    <cfRule type="expression" dxfId="122" priority="51">
      <formula>$I49="MISSING VALUE"</formula>
    </cfRule>
    <cfRule type="expression" dxfId="121" priority="52">
      <formula>$I49="OK"</formula>
    </cfRule>
  </conditionalFormatting>
  <conditionalFormatting sqref="I51">
    <cfRule type="expression" dxfId="120" priority="48">
      <formula>$I$51="MISSING VALUE"</formula>
    </cfRule>
    <cfRule type="expression" dxfId="119" priority="47">
      <formula>$I$51="OK"</formula>
    </cfRule>
  </conditionalFormatting>
  <conditionalFormatting sqref="I53">
    <cfRule type="expression" dxfId="118" priority="49">
      <formula>$I$53="MISSING VALUE"</formula>
    </cfRule>
    <cfRule type="expression" dxfId="117" priority="50">
      <formula>$I$53="OK"</formula>
    </cfRule>
  </conditionalFormatting>
  <conditionalFormatting sqref="I56">
    <cfRule type="expression" dxfId="116" priority="42">
      <formula>$I$56="OK"</formula>
    </cfRule>
    <cfRule type="expression" dxfId="115" priority="41">
      <formula>$I$56="MISSING VALUE"</formula>
    </cfRule>
  </conditionalFormatting>
  <conditionalFormatting sqref="I57:I58">
    <cfRule type="expression" dxfId="114" priority="45">
      <formula>$I57="OK"</formula>
    </cfRule>
    <cfRule type="expression" dxfId="113" priority="46">
      <formula>$I57="MISSING VALUE"</formula>
    </cfRule>
  </conditionalFormatting>
  <conditionalFormatting sqref="I60">
    <cfRule type="expression" dxfId="112" priority="43">
      <formula>$I$60="OK"</formula>
    </cfRule>
    <cfRule type="expression" dxfId="111" priority="44">
      <formula>$I$60="MISSING VALUE"</formula>
    </cfRule>
  </conditionalFormatting>
  <conditionalFormatting sqref="I65:I66 I70">
    <cfRule type="expression" dxfId="110" priority="38">
      <formula>$I65="OK"</formula>
    </cfRule>
    <cfRule type="expression" dxfId="109" priority="39">
      <formula>$I65="MISSING VALUE"</formula>
    </cfRule>
  </conditionalFormatting>
  <conditionalFormatting sqref="I74">
    <cfRule type="expression" dxfId="108" priority="37">
      <formula>$I$74="OK"</formula>
    </cfRule>
  </conditionalFormatting>
  <conditionalFormatting sqref="I75">
    <cfRule type="expression" dxfId="107" priority="36">
      <formula>$I$75="OK"</formula>
    </cfRule>
  </conditionalFormatting>
  <conditionalFormatting sqref="I77">
    <cfRule type="expression" dxfId="106" priority="35">
      <formula>$I$77="OK"</formula>
    </cfRule>
  </conditionalFormatting>
  <conditionalFormatting sqref="I78">
    <cfRule type="expression" dxfId="105" priority="34">
      <formula>$I$78="OK"</formula>
    </cfRule>
  </conditionalFormatting>
  <conditionalFormatting sqref="I81">
    <cfRule type="expression" dxfId="104" priority="27">
      <formula>$I$81="OK"</formula>
    </cfRule>
    <cfRule type="expression" dxfId="103" priority="26">
      <formula>$I$81="MISSING VALUE"</formula>
    </cfRule>
  </conditionalFormatting>
  <conditionalFormatting sqref="I83:I88">
    <cfRule type="expression" dxfId="102" priority="3">
      <formula>$I$83="VALUE INCONSISTENCY"</formula>
    </cfRule>
    <cfRule type="expression" dxfId="101" priority="22">
      <formula>$I$83="OK"</formula>
    </cfRule>
    <cfRule type="expression" dxfId="100" priority="21">
      <formula>$I$83="MISSING VALUE"</formula>
    </cfRule>
  </conditionalFormatting>
  <conditionalFormatting sqref="I89">
    <cfRule type="expression" dxfId="99" priority="29">
      <formula>$I$89="MISSING VALUE"</formula>
    </cfRule>
    <cfRule type="expression" dxfId="98" priority="28">
      <formula>$I$89="OK"</formula>
    </cfRule>
  </conditionalFormatting>
  <conditionalFormatting sqref="I90">
    <cfRule type="expression" dxfId="97" priority="24">
      <formula>$I$90="OK"</formula>
    </cfRule>
    <cfRule type="expression" dxfId="96" priority="23">
      <formula>$I$90="MISSING VALUE"</formula>
    </cfRule>
  </conditionalFormatting>
  <conditionalFormatting sqref="I93">
    <cfRule type="expression" dxfId="95" priority="12">
      <formula>$I$93="MISSING VALUE"</formula>
    </cfRule>
    <cfRule type="expression" dxfId="94" priority="11">
      <formula>$I$93="OK"</formula>
    </cfRule>
  </conditionalFormatting>
  <conditionalFormatting sqref="I95:I99">
    <cfRule type="expression" dxfId="93" priority="10">
      <formula>$I$95="MISSING VALUE"</formula>
    </cfRule>
    <cfRule type="expression" dxfId="92" priority="2">
      <formula>$I$95="VALUE INCONSISTENCY"</formula>
    </cfRule>
    <cfRule type="expression" dxfId="91" priority="9">
      <formula>$I$95="OK"</formula>
    </cfRule>
  </conditionalFormatting>
  <conditionalFormatting sqref="I100">
    <cfRule type="expression" dxfId="90" priority="18">
      <formula>$I$100="MISSING VALUE"</formula>
    </cfRule>
    <cfRule type="expression" dxfId="89" priority="17">
      <formula>$I$100="OK"</formula>
    </cfRule>
  </conditionalFormatting>
  <conditionalFormatting sqref="I101">
    <cfRule type="expression" dxfId="88" priority="5">
      <formula>$I$101="OK"</formula>
    </cfRule>
  </conditionalFormatting>
  <conditionalFormatting sqref="I102">
    <cfRule type="expression" dxfId="87" priority="8">
      <formula>$I$102="OK"</formula>
    </cfRule>
    <cfRule type="expression" dxfId="86" priority="7">
      <formula>$I$102="MISSING VALUE"</formula>
    </cfRule>
  </conditionalFormatting>
  <conditionalFormatting sqref="I103">
    <cfRule type="expression" dxfId="85" priority="16">
      <formula>$I$103="OK"</formula>
    </cfRule>
    <cfRule type="expression" dxfId="84" priority="15">
      <formula>$I$103="MISSING VALUE"</formula>
    </cfRule>
  </conditionalFormatting>
  <conditionalFormatting sqref="I109">
    <cfRule type="expression" dxfId="83" priority="4">
      <formula>$I$109="OK"</formula>
    </cfRule>
  </conditionalFormatting>
  <dataValidations count="33">
    <dataValidation type="custom" operator="lessThanOrEqual" allowBlank="1" showInputMessage="1" showErrorMessage="1" sqref="D10:G10" xr:uid="{35658C98-934E-415B-A434-B434D683088B}">
      <formula1>IF(D12="-", 0, D12) &gt;= D10</formula1>
    </dataValidation>
    <dataValidation type="custom" operator="equal" showInputMessage="1" showErrorMessage="1" promptTitle="Avertissement" prompt="Veuillez vous assurer que le nombre total de salariés est identique à celui indiqué à la cellule E55 de la feuille &quot;Informations générales&quot;." sqref="D20:G20" xr:uid="{A3BF85D0-B645-44C7-9AAE-36905F433620}">
      <formula1>IF(D22="-", 0, D22)&gt;=D18+D19+D20+D21</formula1>
    </dataValidation>
    <dataValidation type="custom" operator="equal" showInputMessage="1" showErrorMessage="1" promptTitle="Avertissement" prompt="Veuillez vous assurer que le nombre total de salariés est identique à celui indiqué à la cellule E55 de la feuille &quot;Informations générales&quot;." sqref="D19:G19" xr:uid="{3CAA3C5B-559A-4C0E-8917-0F00C2AD1CB3}">
      <formula1>IF(D22="-", 0, D22)&gt;=D18+D19+D20+D21</formula1>
    </dataValidation>
    <dataValidation type="custom" operator="equal" showInputMessage="1" showErrorMessage="1" promptTitle="Avertissement" prompt="Veuillez vous assurer que le nombre total de salariés est identique à celui indiqué à la cellule E55 de la feuille &quot;Informations générales&quot;._x000a__x000a_" sqref="D18:G18" xr:uid="{A31EB366-51D1-4BF8-95AC-80324D98867B}">
      <formula1>IF(D22="-", 0, D22)&gt;=D18+D19+D20+D21</formula1>
    </dataValidation>
    <dataValidation type="custom" operator="equal" showInputMessage="1" showErrorMessage="1" promptTitle="Avertissement" prompt="Veuillez vous assurer que le nombre total de salariés est identique à celui indiqué à la cellule E55 de la feuille &quot;Informations générales&quot;._x000a_" sqref="D21:G21" xr:uid="{29622C59-4C2C-42D1-9E9B-9098E92DCA5F}">
      <formula1>IF(D22="-", 0, D22)&gt;=D18+D19+D20+D21</formula1>
    </dataValidation>
    <dataValidation type="list" allowBlank="1" showInputMessage="1" showErrorMessage="1" sqref="C28:D37" xr:uid="{77A05568-1938-495E-A7AE-13F91BB270A6}">
      <formula1>enum_ListCountriesName</formula1>
    </dataValidation>
    <dataValidation type="custom" showInputMessage="1" showErrorMessage="1" sqref="D46:H46" xr:uid="{8D613685-8D1E-43D4-AC71-87FA8AFC831D}">
      <formula1>IF(AND(D43&lt;&gt;"",D44&lt;&gt;"",D45&lt;&gt;""),(D43/((D44+D45)/2)),"-")</formula1>
    </dataValidation>
    <dataValidation allowBlank="1" showInputMessage="1" showErrorMessage="1" promptTitle="Taux de rotation salariés [%]" prompt="(nombre de salariés ayant quitté leur emploi pendant l'année de référence / nombre moyen de salariés pendant l'année de référence) * 100" sqref="C46" xr:uid="{6ED70BED-86B1-422F-9E9B-9F7D61067DE6}"/>
    <dataValidation type="decimal" operator="equal" allowBlank="1" showInputMessage="1" showErrorMessage="1" promptTitle="Avertissement (si pertinent)" prompt="Cette information n'est pertinente que si l'entreprise emploie au moins 50 salariés." sqref="D43:H44" xr:uid="{96DCFD83-4BF7-4FD7-8FD2-05151BCCE1A5}">
      <formula1>D43</formula1>
    </dataValidation>
    <dataValidation type="decimal" operator="equal" allowBlank="1" showInputMessage="1" showErrorMessage="1" promptTitle="Avertissement" prompt="L’entreprise peut modifier la valeur de cette cellule (2 000 heures signifie qu’un salarié à temps plein travaille 2 000 heures par an), qui varie selon les pays ou les secteurs, en fonction de la réglementation nationale ou des conventions collectives." sqref="D50:H50" xr:uid="{EA22707B-ABA8-40D6-9934-C82F06E9A467}">
      <formula1>D50</formula1>
    </dataValidation>
    <dataValidation allowBlank="1" showInputMessage="1" showErrorMessage="1" promptTitle="Taux d'accidents du travail" prompt="(nombre d'accidents du travail comptabilisables de l'année de référence / nombre total annuel d'heures travaillées par tous les salariés) * 200000" sqref="C52" xr:uid="{90514CF9-CB78-474C-A511-81130F02799D}"/>
    <dataValidation type="decimal" operator="equal" allowBlank="1" showInputMessage="1" showErrorMessage="1" sqref="D49:H49 D66:H69 D51:H53" xr:uid="{3A8DF103-4426-4BFA-BB27-CBEC176BC471}">
      <formula1>D49</formula1>
    </dataValidation>
    <dataValidation type="decimal" operator="equal" allowBlank="1" showInputMessage="1" showErrorMessage="1" promptTitle="Avertissement" prompt="L'entreprise peut omettre cette information si le nombre de ses effectifs est inférieur à 150 salariés." sqref="D57:H58" xr:uid="{6A4C82A2-179E-4EF2-B743-004EBBA6E34D}">
      <formula1>D57</formula1>
    </dataValidation>
    <dataValidation allowBlank="1" showInputMessage="1" showErrorMessage="1" promptTitle="Proportion salariés couverts [%]" prompt="(nombre de salariés couverts par une convention collective / nombre total de salariés) * 100" sqref="C61" xr:uid="{0F9FDC34-899C-46D5-9245-B8BD1E753023}"/>
    <dataValidation allowBlank="1" showInputMessage="1" showErrorMessage="1" promptTitle="Écart de rémunération [ %]" prompt="((niveau moyen de rémunération horaire brute des salariés hommes - niveau moyen de rémunération horaire brute des salariés femmes) / niveau moyen de rémunération horaire brute des salariés hommes) * 100" sqref="C59" xr:uid="{82989DE3-E357-4B62-A2B7-CCFD3962265A}"/>
    <dataValidation type="list" allowBlank="1" showInputMessage="1" showErrorMessage="1" sqref="D56:H56 D81:H81 D90:H90 D102:H102 D93:H93" xr:uid="{32EA9B96-1307-4142-ABAB-2409115C8A3B}">
      <formula1>enum_ListYesNo</formula1>
    </dataValidation>
    <dataValidation type="decimal" operator="equal" allowBlank="1" showInputMessage="1" showErrorMessage="1" promptTitle="Avertissement (facultatif)" prompt="L'entreprise peut publier cette information si elle emploie au moins 50 salariés." sqref="D74:H75 D77:H78" xr:uid="{57C9AD05-8293-4AAD-9B7C-10872E8F0C0E}">
      <formula1>D74</formula1>
    </dataValidation>
    <dataValidation allowBlank="1" showInputMessage="1" showErrorMessage="1" promptTitle="Ratio femmes/hommes encadrement" prompt="nombre de salariés femmes au niveau de l'encadrement / nombre de salariés hommes au niveau de l'encadrement" sqref="C76" xr:uid="{A2AA09AE-1878-4581-AA5D-3AF1168BB2AA}"/>
    <dataValidation type="custom" showInputMessage="1" showErrorMessage="1" sqref="D76:H76" xr:uid="{842AA799-C112-4EB7-9AD5-5A7FDB0661AC}">
      <formula1>IF(AND(D74&lt;&gt;"",D75&lt;&gt;""),$D$75/$D$74,"-")</formula1>
    </dataValidation>
    <dataValidation type="custom" showInputMessage="1" showErrorMessage="1" promptTitle="Avertissement" prompt="Si vous sélectionnez &quot;autres&quot;, merci de remplir la ligne suivante." sqref="D88:H88" xr:uid="{75B12E3F-FC71-4F17-B75C-BB63238BEA20}">
      <formula1>OR(D88=TRUE,D88=FALSE)</formula1>
    </dataValidation>
    <dataValidation type="custom" showInputMessage="1" showErrorMessage="1" sqref="D84:H86" xr:uid="{280CCE74-41E2-4CF5-B0C7-E745BDD2E546}">
      <formula1>OR(D84=FALSE,D84=TRUE)</formula1>
    </dataValidation>
    <dataValidation type="custom" showInputMessage="1" showErrorMessage="1" sqref="D83:H83 D87:H87 D95:H98" xr:uid="{1A66DB0D-7F71-4F5F-9B26-492FBB22D207}">
      <formula1>OR(D83=TRUE,D83=FALSE)</formula1>
    </dataValidation>
    <dataValidation type="custom" showInputMessage="1" showErrorMessage="1" promptTitle="Avertissement" prompt="Si vous sélectionnez &quot;autres&quot;, merci de remplir la ligne suivante." sqref="D99:H99" xr:uid="{0849D478-D11C-475C-B14C-4C907A65EAD5}">
      <formula1>OR(D99=FALSE,D99=TRUE)</formula1>
    </dataValidation>
    <dataValidation type="custom" showInputMessage="1" showErrorMessage="1" promptTitle="Avertissement" prompt="Veuillez vous assurer que le nombre total de salariés est identique à celui indiqué à la cellule E55 de la feuille &quot;Informations générales&quot;." sqref="E28:H28" xr:uid="{CC4923C5-FB49-478B-8A24-5BB3971285F4}">
      <formula1>IF(E38="-", 0, E38)&gt;=E28+E29+E30+E31+E32+E33+E34+E35+E36+E37</formula1>
    </dataValidation>
    <dataValidation type="custom" showInputMessage="1" showErrorMessage="1" sqref="E29:H29" xr:uid="{1888FA88-A3B7-4B17-8342-81C82ACDA739}">
      <formula1>IF(E38="-", 0, E38)&gt;=E28+E29+E30+E31+E32+E33+E34+E35+E36+E37</formula1>
    </dataValidation>
    <dataValidation type="custom" showInputMessage="1" showErrorMessage="1" sqref="E30:H30" xr:uid="{3FA4ED83-4318-412D-BE84-B75A2C8B149F}">
      <formula1>IF(E38="-", 0, E38)&gt;=E28+E29+E30+E31+E32+E33+E34+E35+E36+E37</formula1>
    </dataValidation>
    <dataValidation type="custom" showInputMessage="1" showErrorMessage="1" sqref="E31:H31" xr:uid="{1D28F474-25EE-453B-AE9C-BA8D81C2E4AA}">
      <formula1>IF(E38="-", 0, E38)&gt;=E28+E29+E30+E31+E32+E33+E34+E35+E36+E37</formula1>
    </dataValidation>
    <dataValidation type="custom" showInputMessage="1" showErrorMessage="1" sqref="E32:H32" xr:uid="{04D38E36-608E-45D5-8EEE-CFFED0909AD6}">
      <formula1>IF(E38="-", 0, E38)&gt;=E28+E29+E30+E31+E32+E33+E34+E35+E36+E37</formula1>
    </dataValidation>
    <dataValidation type="custom" showInputMessage="1" showErrorMessage="1" sqref="E33:H33" xr:uid="{62EE6006-68AE-48E9-AE72-2CD789845BBE}">
      <formula1>IF(E38="-", 0, E38)&gt;=E28+E29+E30+E31+E32+E33+E34+E35+E36+E37</formula1>
    </dataValidation>
    <dataValidation type="custom" showInputMessage="1" showErrorMessage="1" sqref="E34:H34" xr:uid="{C1663CAE-DCC5-488B-93E6-756CDF74876A}">
      <formula1>IF(E38="-", 0, E38)&gt;=E28+E29+E30+E31+E32+E33+E34+E35+E36+E37</formula1>
    </dataValidation>
    <dataValidation type="custom" showInputMessage="1" showErrorMessage="1" sqref="E35:H35" xr:uid="{671E5168-3A7C-40FA-BF3B-1E5C4B3C3279}">
      <formula1>IF(E38="-", 0, E38)&gt;=E28+E29+E30+E31+E32+E33+E34+E35+E36+E37</formula1>
    </dataValidation>
    <dataValidation type="custom" showInputMessage="1" showErrorMessage="1" sqref="E36:H36" xr:uid="{DB034702-4EFF-40B8-BDF2-598997D36609}">
      <formula1>IF(E38="-", 0, E38)&gt;=E28+E29+E30+E31+E32+E33+E34+E35+E36+E37</formula1>
    </dataValidation>
    <dataValidation type="custom" showInputMessage="1" showErrorMessage="1" sqref="E37:H37" xr:uid="{50355345-210E-4FA6-AEDD-3AD5E3603619}">
      <formula1>IF(E38="-", 0, E38)&gt;=E28+E29+E30+E31+E32+E33+E34+E35+E36+E37</formula1>
    </dataValidation>
  </dataValidations>
  <hyperlinks>
    <hyperlink ref="C7" r:id="rId1" location="id-89" xr:uid="{715FCF17-2CDA-45C0-AD69-D374E2424764}"/>
    <hyperlink ref="C8" r:id="rId2" location="id-355" xr:uid="{E70410AE-E73F-4568-AF31-581E7B412326}"/>
    <hyperlink ref="C15" r:id="rId3" location="id-90" xr:uid="{D13E5315-32E5-47A5-8C59-56679AD414C5}"/>
    <hyperlink ref="C16" r:id="rId4" location="id-355" xr:uid="{31DF6FD3-0C4C-40A0-B0F3-952DBAB2C719}"/>
    <hyperlink ref="C26" r:id="rId5" location="id-355" xr:uid="{72A4734A-6FA5-4693-A1A4-0571AD5D6BFC}"/>
    <hyperlink ref="C25" r:id="rId6" location="id-91" display="https://xbrl.efrag.org/e-esrs/2024-12-17-efrag-vsme.xhtml - id-91" xr:uid="{E4FF1FD8-D0A9-4664-94B5-903B3C7DE34E}"/>
    <hyperlink ref="C41" r:id="rId7" location="id-92" display="https://xbrl.efrag.org/e-esrs/2024-12-17-efrag-vsme.xhtml - id-92" xr:uid="{E0BA9FB5-FB8C-4FEF-868E-6CF4D588E023}"/>
    <hyperlink ref="C42" r:id="rId8" location="id-363" display="https://xbrl.efrag.org/e-esrs/2024-12-17-efrag-vsme.xhtml - id-363" xr:uid="{50B0BE03-C08E-4851-AC9B-993066443FF0}"/>
    <hyperlink ref="A49" r:id="rId9" location="id-94" xr:uid="{F2DE8AE6-7F6A-4C11-8C35-BFD6848C265A}"/>
    <hyperlink ref="A53" r:id="rId10" location="id-95" xr:uid="{4BE08046-72E6-47D5-888C-BE3727409AE4}"/>
    <hyperlink ref="B49" r:id="rId11" location="id-364" xr:uid="{A80B1F84-0594-4287-A96E-9DCAA77A7036}"/>
    <hyperlink ref="A52" r:id="rId12" location="id-94" xr:uid="{EA2404A1-51BC-481A-8E4F-5AB78F79640D}"/>
    <hyperlink ref="B52" r:id="rId13" location="id-364" xr:uid="{D8B63EA5-D463-43B4-8030-CA47BE1D7F9B}"/>
    <hyperlink ref="B53" r:id="rId14" location="id-364" xr:uid="{592115F4-785E-4884-9F11-EC1CDAA7AD4C}"/>
    <hyperlink ref="B50" r:id="rId15" location="id-364" xr:uid="{C834CAB3-E8ED-40BC-BB33-273E800581F8}"/>
    <hyperlink ref="A50" r:id="rId16" location="id-94" xr:uid="{CE077BCB-E0E0-43CE-AB18-1679B81A886C}"/>
    <hyperlink ref="B51" r:id="rId17" location="id-364" xr:uid="{D254A293-743D-4752-9BC2-58B52293DA05}"/>
    <hyperlink ref="A51" r:id="rId18" location="id-94" xr:uid="{15EC11F0-ABC5-4D45-AB10-84EF21F7169E}"/>
    <hyperlink ref="A56" r:id="rId19" location="id-97" xr:uid="{A04769E2-92AB-4FA7-8BAA-94C789C5D2BC}"/>
    <hyperlink ref="A60" r:id="rId20" location="id-99" xr:uid="{8113121E-C750-4B02-9F44-43C4B57E348C}"/>
    <hyperlink ref="B56" r:id="rId21" location="id-372" xr:uid="{D1428CBA-D262-46DD-A656-23D4C88B3472}"/>
    <hyperlink ref="B60" r:id="rId22" location="id-386" xr:uid="{9AEDE24B-6E51-44E4-9816-FE8C0C8508A3}"/>
    <hyperlink ref="B57" r:id="rId23" location="id-374" xr:uid="{525973BD-5FC4-4E6E-BA87-B737CF59306E}"/>
    <hyperlink ref="A57" r:id="rId24" location="id-98" xr:uid="{F0243AF2-FF4E-4CBE-AEAD-BC0BC83F6AC2}"/>
    <hyperlink ref="B58" r:id="rId25" location="id-374" xr:uid="{104883E6-8F9E-4119-88F7-2A6F19C7A516}"/>
    <hyperlink ref="B59" r:id="rId26" location="id-374" xr:uid="{F9307A3F-AD36-421A-9607-33B4BE27003C}"/>
    <hyperlink ref="A58" r:id="rId27" location="id-98" xr:uid="{5D3B0B2D-7124-4E21-B355-62E0AAD588A7}"/>
    <hyperlink ref="A59" r:id="rId28" location="id-98" xr:uid="{47EFE290-E6B5-4CD8-B169-851CB10D84F9}"/>
    <hyperlink ref="C64" r:id="rId29" location="id-100" xr:uid="{A4FCCF43-CF5C-4938-A588-DC9CBECE7EC2}"/>
    <hyperlink ref="A74" r:id="rId30" location="id-130" display="https://xbrl.efrag.org/e-esrs/2024-12-17-efrag-vsme.xhtml - id-130" xr:uid="{D6C382FC-BB6A-4070-83F7-5D8F1C237A22}"/>
    <hyperlink ref="A77" r:id="rId31" location="id-131" display="https://xbrl.efrag.org/e-esrs/2024-12-17-efrag-vsme.xhtml - id-131" xr:uid="{B621BBEE-281B-42F5-B2D2-56DD7AA5EEA0}"/>
    <hyperlink ref="A78" r:id="rId32" location="id-131" display="https://xbrl.efrag.org/e-esrs/2024-12-17-efrag-vsme.xhtml - id-131" xr:uid="{8ED66C97-8126-45CF-A41E-4572B285E3F6}"/>
    <hyperlink ref="B74" r:id="rId33" location="id-415" xr:uid="{F0350405-76E9-49D1-BCA5-1A0EFEA12C04}"/>
    <hyperlink ref="B77" r:id="rId34" location="id-418" xr:uid="{7E6AA21F-CB64-4BA3-B45A-0E902CCAE552}"/>
    <hyperlink ref="A75" r:id="rId35" location="id-130" display="https://xbrl.efrag.org/e-esrs/2024-12-17-efrag-vsme.xhtml - id-130" xr:uid="{C91608C0-DFF6-4B56-9932-F926617F9A16}"/>
    <hyperlink ref="A76" r:id="rId36" location="id-130" display="https://xbrl.efrag.org/e-esrs/2024-12-17-efrag-vsme.xhtml - id-130" xr:uid="{E602DCC3-A38C-46E0-B774-0F6C736FE57B}"/>
    <hyperlink ref="B75" r:id="rId37" location="id-415" xr:uid="{FA5DC381-6D4D-4E15-9DAD-90295414445C}"/>
    <hyperlink ref="B76" r:id="rId38" location="id-415" xr:uid="{C35A7BE2-1FDF-4AD0-BBEF-58AE534FE8CC}"/>
    <hyperlink ref="B78" r:id="rId39" location="id-418" xr:uid="{4E2EB394-1514-475F-A549-6B5ADC5A7ED2}"/>
    <hyperlink ref="A81" r:id="rId40" location="id-133" xr:uid="{B9DD33F4-2ACF-4676-8833-08E77CB7D0CA}"/>
    <hyperlink ref="A82" r:id="rId41" location="id-134" xr:uid="{88C6CF49-313A-4434-8D2A-0AEA3359D7FC}"/>
    <hyperlink ref="A90" r:id="rId42" location="id-141" xr:uid="{752B393B-0928-4C69-AFB2-C68F07D89E0E}"/>
    <hyperlink ref="B81" r:id="rId43" location="id-421" display="https://xbrl.efrag.org/e-esrs/2024-12-17-efrag-vsme.xhtml - id-421" xr:uid="{5DC38D20-F9F3-45CD-A4F1-CCBAA158E822}"/>
    <hyperlink ref="A83" r:id="rId44" location="id-134" xr:uid="{9F41511B-EAE9-4038-B769-39B69F98214E}"/>
    <hyperlink ref="A84" r:id="rId45" location="id-134" xr:uid="{6736A509-7FFA-4A51-AA25-08C70D0E0510}"/>
    <hyperlink ref="A85" r:id="rId46" location="id-134" xr:uid="{CAFDE558-9FA3-4285-8C44-DA8FEF2C7308}"/>
    <hyperlink ref="A86" r:id="rId47" location="id-134" xr:uid="{7D54C365-EE02-42DF-95D1-E9F61A01A7F7}"/>
    <hyperlink ref="A87" r:id="rId48" location="id-134" xr:uid="{12F1C605-8205-4638-92AF-3B3E4A406DA7}"/>
    <hyperlink ref="A88" r:id="rId49" location="id-134" xr:uid="{F7F3844C-592C-493F-999B-ADD2C2DBD675}"/>
    <hyperlink ref="A89" r:id="rId50" location="id-134" xr:uid="{6DB3FADD-C4EF-4C87-B44A-35D15C2FC844}"/>
    <hyperlink ref="B82" r:id="rId51" location="id-421" display="https://xbrl.efrag.org/e-esrs/2024-12-17-efrag-vsme.xhtml - id-421" xr:uid="{85ACBB42-BAB7-45EE-831D-CA7C1994F0BB}"/>
    <hyperlink ref="B83" r:id="rId52" location="id-421" display="https://xbrl.efrag.org/e-esrs/2024-12-17-efrag-vsme.xhtml - id-421" xr:uid="{25B17C17-88B4-4410-A82C-10658BC42D58}"/>
    <hyperlink ref="B84" r:id="rId53" location="id-421" display="https://xbrl.efrag.org/e-esrs/2024-12-17-efrag-vsme.xhtml - id-421" xr:uid="{550D908B-E11D-4195-B4E1-60AC4C857611}"/>
    <hyperlink ref="A102" r:id="rId54" location="id-150" xr:uid="{9B3F1639-CEDF-4FD6-829F-0D9EE195C206}"/>
    <hyperlink ref="B93" r:id="rId55" location="id-422" display="https://xbrl.efrag.org/e-esrs/2024-12-17-efrag-vsme.xhtml - id-422" xr:uid="{E39563BA-8B8E-41CC-8A15-041A714F2283}"/>
    <hyperlink ref="A94" r:id="rId56" location="id-144" display="62(a)(i)" xr:uid="{4767E427-EBDB-4F68-ADD4-2E28DAE9623F}"/>
    <hyperlink ref="A93" r:id="rId57" location="id-142" display="https://xbrl.efrag.org/e-esrs/2024-12-17-efrag-vsme.xhtml - id-142" xr:uid="{EAFDF65A-AB84-4580-B43C-874BE882196C}"/>
    <hyperlink ref="A101" r:id="rId58" location="id-149" xr:uid="{C3F1A085-4C97-49E3-804F-2C1886C3712A}"/>
    <hyperlink ref="C108" r:id="rId59" location="id-30" display="https://xbrl.efrag.org/e-esrs/2024-12-17-efrag-vsme.xhtml - id-30" xr:uid="{1D37EE3E-D845-46B8-B826-670052F1EFFD}"/>
    <hyperlink ref="B85:B90" r:id="rId60" location="id-421" display="https://xbrl.efrag.org/e-esrs/2024-12-17-efrag-vsme.xhtml - id-421" xr:uid="{A126D52C-FA63-480B-BE25-A9AB74ED4C1B}"/>
    <hyperlink ref="B94:B103" r:id="rId61" location="id-422" display="https://xbrl.efrag.org/e-esrs/2024-12-17-efrag-vsme.xhtml - id-422" xr:uid="{97DE1FD4-33F2-4912-93BB-D17B56C35167}"/>
    <hyperlink ref="A103" r:id="rId62" location="id-150" xr:uid="{B379C580-FA64-4B81-A5B6-6DD6989075B0}"/>
    <hyperlink ref="A95:A100" r:id="rId63" location="id-144" display="62(a)(i)" xr:uid="{4B7D20AD-BEA6-4524-971D-61B8C6F071CB}"/>
  </hyperlinks>
  <pageMargins left="0.7" right="0.7" top="0.75" bottom="0.75" header="0.3" footer="0.3"/>
  <ignoredErrors>
    <ignoredError sqref="D51:D52 D61" unlockedFormula="1"/>
  </ignoredErrors>
  <drawing r:id="rId64"/>
  <extLst>
    <ext xmlns:x14="http://schemas.microsoft.com/office/spreadsheetml/2009/9/main" uri="{78C0D931-6437-407d-A8EE-F0AAD7539E65}">
      <x14:conditionalFormattings>
        <x14:conditionalFormatting xmlns:xm="http://schemas.microsoft.com/office/excel/2006/main">
          <x14:cfRule type="expression" priority="53" id="{C1AD0EBF-9256-40D4-AB7C-630EAFD99990}">
            <xm:f>'Informations générales'!$E$62&gt;50</xm:f>
            <x14:dxf>
              <fill>
                <patternFill patternType="solid">
                  <bgColor rgb="FFFFFF99"/>
                </patternFill>
              </fill>
            </x14:dxf>
          </x14:cfRule>
          <xm:sqref>C43:H45</xm:sqref>
        </x14:conditionalFormatting>
        <x14:conditionalFormatting xmlns:xm="http://schemas.microsoft.com/office/excel/2006/main">
          <x14:cfRule type="expression" priority="40" id="{41BDF252-99BC-47B0-A14B-5396CCC7A6C9}">
            <xm:f>'Informations générales'!$E$62&gt;150</xm:f>
            <x14:dxf>
              <fill>
                <patternFill patternType="solid">
                  <bgColor rgb="FFFFFF99"/>
                </patternFill>
              </fill>
            </x14:dxf>
          </x14:cfRule>
          <xm:sqref>C57:H58</xm:sqref>
        </x14:conditionalFormatting>
        <x14:conditionalFormatting xmlns:xm="http://schemas.microsoft.com/office/excel/2006/main">
          <x14:cfRule type="expression" priority="33" id="{0A250C4B-DD07-4841-AABD-2DCC525B6367}">
            <xm:f>'Informations générales'!$E$62&gt;50</xm:f>
            <x14:dxf>
              <fill>
                <patternFill patternType="solid">
                  <bgColor rgb="FFFFFF99"/>
                </patternFill>
              </fill>
            </x14:dxf>
          </x14:cfRule>
          <xm:sqref>C74:H75</xm:sqref>
        </x14:conditionalFormatting>
        <x14:conditionalFormatting xmlns:xm="http://schemas.microsoft.com/office/excel/2006/main">
          <x14:cfRule type="expression" priority="32" id="{69F3CDF1-C506-4C12-A20E-FE804D24A482}">
            <xm:f>'Informations générales'!$E$62&gt;50</xm:f>
            <x14:dxf>
              <fill>
                <patternFill patternType="none">
                  <bgColor auto="1"/>
                </patternFill>
              </fill>
            </x14:dxf>
          </x14:cfRule>
          <xm:sqref>D77:H78</xm:sqref>
        </x14:conditionalFormatting>
        <x14:conditionalFormatting xmlns:xm="http://schemas.microsoft.com/office/excel/2006/main">
          <x14:cfRule type="expression" priority="31" id="{9B10E77F-7102-491B-A9C8-C6F978FDB272}">
            <xm:f>'Informations générales'!$E$32="Option A (Basic Module only)"</xm:f>
            <x14:dxf>
              <fill>
                <patternFill>
                  <bgColor theme="0" tint="-0.14996795556505021"/>
                </patternFill>
              </fill>
            </x14:dxf>
          </x14:cfRule>
          <xm:sqref>D83:H88</xm:sqref>
        </x14:conditionalFormatting>
        <x14:conditionalFormatting xmlns:xm="http://schemas.microsoft.com/office/excel/2006/main">
          <x14:cfRule type="expression" priority="20" id="{04A7DFC3-A5B9-44F5-A88C-400BD569DEEE}">
            <xm:f>'Informations générales'!$E$32="Option A (Basic Module only)"</xm:f>
            <x14:dxf>
              <fill>
                <patternFill>
                  <bgColor theme="0" tint="-0.14996795556505021"/>
                </patternFill>
              </fill>
            </x14:dxf>
          </x14:cfRule>
          <xm:sqref>D95:H99</xm:sqref>
        </x14:conditionalFormatting>
      </x14:conditionalFormattings>
    </ext>
    <ext xmlns:x14="http://schemas.microsoft.com/office/spreadsheetml/2009/9/main" uri="{CCE6A557-97BC-4b89-ADB6-D9C93CAAB3DF}">
      <x14:dataValidations xmlns:xm="http://schemas.microsoft.com/office/excel/2006/main" count="3">
        <x14:dataValidation type="custom" showInputMessage="1" showErrorMessage="1" xr:uid="{B40D72B0-33D3-4A87-96E8-AAF81F96529B}">
          <x14:formula1>
            <xm:f>IF('Informations générales'!$E$64="","-",'Informations générales'!$E$64)</xm:f>
          </x14:formula1>
          <xm:sqref>F2:H2</xm:sqref>
        </x14:dataValidation>
        <x14:dataValidation type="custom" showInputMessage="1" showErrorMessage="1" xr:uid="{32F728F7-53E1-49E0-A9CF-2F3E85840EB1}">
          <x14:formula1>
            <xm:f>IF('Informations générales'!$E$62="","-",'Informations générales'!$E$62)</xm:f>
          </x14:formula1>
          <xm:sqref>D22:G22 E38</xm:sqref>
        </x14:dataValidation>
        <x14:dataValidation type="decimal" operator="lessThanOrEqual" showInputMessage="1" showErrorMessage="1" xr:uid="{4524FD31-9514-4873-ACED-6F067A4868E8}">
          <x14:formula1>
            <xm:f>'Informations générales'!E62</xm:f>
          </x14:formula1>
          <xm:sqref>D60:H60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131E5-D03B-4AF1-8F75-04B53721BB24}">
  <sheetPr codeName="Sheet6"/>
  <dimension ref="A1:AT140"/>
  <sheetViews>
    <sheetView zoomScale="85" zoomScaleNormal="85" workbookViewId="0">
      <selection activeCell="B10" sqref="B10"/>
    </sheetView>
  </sheetViews>
  <sheetFormatPr baseColWidth="10" defaultColWidth="9" defaultRowHeight="14.5" outlineLevelCol="1" x14ac:dyDescent="0.35"/>
  <cols>
    <col min="1" max="1" width="54" customWidth="1"/>
    <col min="2" max="2" width="45.26953125" customWidth="1"/>
    <col min="3" max="3" width="68.81640625" style="8" customWidth="1"/>
    <col min="4" max="4" width="27.453125" style="8" customWidth="1"/>
    <col min="5" max="5" width="10.54296875" style="8" customWidth="1"/>
    <col min="6" max="6" width="16.453125" style="8" customWidth="1"/>
    <col min="7" max="7" width="17" style="8" customWidth="1"/>
    <col min="8" max="8" width="20.453125" style="8" customWidth="1"/>
    <col min="9" max="9" width="23.453125" style="8" customWidth="1"/>
    <col min="10" max="10" width="14.54296875" style="8" customWidth="1"/>
    <col min="11" max="11" width="24.453125" style="8" hidden="1" customWidth="1" outlineLevel="1"/>
    <col min="12" max="12" width="25" style="8" hidden="1" customWidth="1" outlineLevel="1"/>
    <col min="13" max="13" width="67.453125" style="8" hidden="1" customWidth="1" outlineLevel="1"/>
    <col min="14" max="14" width="15.453125" style="8" customWidth="1" collapsed="1"/>
    <col min="15" max="15" width="24.453125" style="8" hidden="1" customWidth="1" outlineLevel="1"/>
    <col min="16" max="16" width="25" style="8" hidden="1" customWidth="1" outlineLevel="1"/>
    <col min="17" max="17" width="62.36328125" style="8" hidden="1" customWidth="1" outlineLevel="1"/>
    <col min="18" max="18" width="19.453125" style="8" customWidth="1" collapsed="1"/>
    <col min="19" max="19" width="24.453125" style="8" hidden="1" customWidth="1" outlineLevel="1"/>
    <col min="20" max="20" width="25" style="8" hidden="1" customWidth="1" outlineLevel="1"/>
    <col min="21" max="21" width="34.453125" style="8" hidden="1" customWidth="1" outlineLevel="1"/>
    <col min="22" max="22" width="23.453125" style="8" customWidth="1" collapsed="1"/>
    <col min="23" max="23" width="24.453125" style="8" hidden="1" customWidth="1" outlineLevel="1"/>
    <col min="24" max="24" width="25" style="8" hidden="1" customWidth="1" outlineLevel="1"/>
    <col min="25" max="25" width="33.453125" style="8" hidden="1" customWidth="1" outlineLevel="1"/>
    <col min="26" max="26" width="8.54296875" style="8" collapsed="1"/>
    <col min="27" max="27" width="24.453125" style="8" hidden="1" customWidth="1" outlineLevel="1"/>
    <col min="28" max="28" width="25" style="8" hidden="1" customWidth="1" outlineLevel="1"/>
    <col min="29" max="29" width="46.453125" style="8" hidden="1" customWidth="1" outlineLevel="1"/>
    <col min="30" max="30" width="8.54296875" style="8" collapsed="1"/>
    <col min="31" max="31" width="24.453125" style="8" hidden="1" customWidth="1" outlineLevel="1"/>
    <col min="32" max="32" width="25" style="8" hidden="1" customWidth="1" outlineLevel="1"/>
    <col min="33" max="33" width="42" style="8" hidden="1" customWidth="1" outlineLevel="1"/>
    <col min="34" max="34" width="8.54296875" style="8" collapsed="1"/>
    <col min="35" max="35" width="24.453125" style="8" hidden="1" customWidth="1" outlineLevel="1"/>
    <col min="36" max="36" width="25" style="8" hidden="1" customWidth="1" outlineLevel="1"/>
    <col min="37" max="37" width="39.54296875" hidden="1" customWidth="1" outlineLevel="1"/>
    <col min="38" max="38" width="9.36328125" style="8" collapsed="1"/>
    <col min="39" max="39" width="24.453125" hidden="1" customWidth="1" outlineLevel="1"/>
    <col min="40" max="40" width="25" hidden="1" customWidth="1" outlineLevel="1"/>
    <col min="41" max="41" width="42.453125" hidden="1" customWidth="1" outlineLevel="1"/>
    <col min="42" max="42" width="9.36328125" style="8" collapsed="1"/>
    <col min="43" max="43" width="24.453125" style="8" hidden="1" customWidth="1" outlineLevel="1"/>
    <col min="44" max="44" width="25" style="8" hidden="1" customWidth="1" outlineLevel="1"/>
    <col min="45" max="45" width="45.7265625" style="8" hidden="1" customWidth="1" outlineLevel="1"/>
    <col min="46" max="46" width="9.36328125" style="8" collapsed="1"/>
    <col min="47" max="16382" width="9.36328125" style="8"/>
    <col min="16383" max="16384" width="8.54296875" style="8" bestFit="1" customWidth="1"/>
  </cols>
  <sheetData>
    <row r="1" spans="1:45" ht="28.5" customHeight="1" thickTop="1" thickBot="1" x14ac:dyDescent="0.55000000000000004">
      <c r="A1" s="47" t="s">
        <v>4229</v>
      </c>
      <c r="B1" s="8"/>
      <c r="AK1" s="8"/>
      <c r="AM1" s="8"/>
      <c r="AN1" s="8"/>
      <c r="AO1" s="8"/>
    </row>
    <row r="2" spans="1:45" ht="24" customHeight="1" thickTop="1" x14ac:dyDescent="0.35">
      <c r="A2" s="20"/>
      <c r="B2" s="8"/>
      <c r="AK2" s="8"/>
      <c r="AM2" s="8"/>
      <c r="AN2" s="8"/>
      <c r="AO2" s="8"/>
    </row>
    <row r="3" spans="1:45" ht="183.75" customHeight="1" x14ac:dyDescent="0.5">
      <c r="A3" s="1096" t="s">
        <v>4831</v>
      </c>
      <c r="B3" s="1097"/>
      <c r="C3" s="1097"/>
      <c r="D3" s="1097"/>
      <c r="E3" s="1097"/>
      <c r="F3" s="1097"/>
      <c r="G3" s="1097"/>
      <c r="H3" s="1097"/>
      <c r="I3" s="1097"/>
      <c r="J3" s="1097"/>
      <c r="AK3" s="8"/>
      <c r="AM3" s="8"/>
      <c r="AN3" s="8"/>
      <c r="AO3" s="8"/>
    </row>
    <row r="4" spans="1:45" ht="40.15" customHeight="1" thickBot="1" x14ac:dyDescent="0.45">
      <c r="A4" s="78"/>
      <c r="B4" s="78"/>
      <c r="C4" s="78"/>
      <c r="D4" s="78"/>
      <c r="E4" s="78"/>
      <c r="F4" s="78"/>
      <c r="G4" s="78"/>
      <c r="H4" s="78"/>
      <c r="I4" s="78"/>
      <c r="AK4" s="8"/>
      <c r="AM4" s="8"/>
      <c r="AN4" s="8"/>
      <c r="AO4" s="8"/>
    </row>
    <row r="5" spans="1:45" ht="35.5" customHeight="1" thickBot="1" x14ac:dyDescent="0.45">
      <c r="A5" s="80"/>
      <c r="B5" s="1095" t="s">
        <v>4781</v>
      </c>
      <c r="C5" s="1095"/>
      <c r="D5" s="1095"/>
      <c r="E5" s="78"/>
      <c r="F5" s="78"/>
      <c r="G5" s="78"/>
      <c r="H5" s="78"/>
      <c r="I5" s="78"/>
      <c r="AK5" s="8"/>
      <c r="AM5" s="8"/>
      <c r="AN5" s="8"/>
      <c r="AO5" s="8"/>
    </row>
    <row r="6" spans="1:45" ht="44.5" customHeight="1" thickBot="1" x14ac:dyDescent="0.45">
      <c r="A6" s="44" t="s">
        <v>3857</v>
      </c>
      <c r="B6" s="1095" t="s">
        <v>4730</v>
      </c>
      <c r="C6" s="1095"/>
      <c r="D6" s="1095"/>
      <c r="E6" s="78"/>
      <c r="F6" s="78"/>
      <c r="G6" s="78"/>
      <c r="H6" s="78"/>
      <c r="I6" s="78"/>
      <c r="AK6" s="8"/>
      <c r="AM6" s="8"/>
      <c r="AN6" s="8"/>
      <c r="AO6" s="8"/>
    </row>
    <row r="7" spans="1:45" ht="51.65" customHeight="1" thickBot="1" x14ac:dyDescent="0.45">
      <c r="A7" s="81" t="e" vm="1">
        <v>#VALUE!</v>
      </c>
      <c r="B7" s="1095" t="s">
        <v>4230</v>
      </c>
      <c r="C7" s="1095"/>
      <c r="D7" s="1095"/>
      <c r="E7" s="78"/>
      <c r="F7" s="78"/>
      <c r="G7" s="78"/>
      <c r="H7" s="78"/>
      <c r="I7" s="78"/>
      <c r="AK7" s="8"/>
      <c r="AM7" s="8"/>
      <c r="AN7" s="8"/>
      <c r="AO7" s="8"/>
    </row>
    <row r="8" spans="1:45" ht="40.15" customHeight="1" x14ac:dyDescent="0.35">
      <c r="A8" s="20"/>
      <c r="B8" s="8"/>
      <c r="AB8" s="79"/>
      <c r="AK8" s="8"/>
      <c r="AM8" s="8"/>
      <c r="AN8" s="8"/>
      <c r="AO8" s="8"/>
    </row>
    <row r="9" spans="1:45" ht="15" thickBot="1" x14ac:dyDescent="0.4">
      <c r="A9" s="34"/>
      <c r="B9" s="35"/>
      <c r="C9" s="36"/>
      <c r="E9" s="20" t="s">
        <v>4234</v>
      </c>
      <c r="K9" s="34"/>
      <c r="L9" s="35"/>
      <c r="M9" s="36"/>
      <c r="O9" s="34"/>
      <c r="P9" s="35"/>
      <c r="Q9" s="36"/>
      <c r="S9" s="34"/>
      <c r="T9" s="35"/>
      <c r="U9" s="36"/>
      <c r="W9" s="34"/>
      <c r="X9" s="35"/>
      <c r="Y9" s="36"/>
      <c r="AA9" s="34"/>
      <c r="AC9" s="36"/>
      <c r="AE9" s="34"/>
      <c r="AF9" s="35"/>
      <c r="AG9" s="36"/>
      <c r="AI9" s="34"/>
      <c r="AJ9" s="35"/>
      <c r="AK9" s="36"/>
      <c r="AM9" s="34"/>
      <c r="AN9" s="35"/>
      <c r="AO9" s="36"/>
      <c r="AQ9" s="34"/>
      <c r="AR9" s="35"/>
      <c r="AS9" s="36"/>
    </row>
    <row r="10" spans="1:45" ht="15" thickBot="1" x14ac:dyDescent="0.4">
      <c r="A10" s="37" t="s">
        <v>4231</v>
      </c>
      <c r="B10" s="174" t="s">
        <v>4259</v>
      </c>
      <c r="C10" s="38"/>
      <c r="E10" s="8" t="s">
        <v>4832</v>
      </c>
      <c r="K10" s="37" t="s">
        <v>3264</v>
      </c>
      <c r="L10" s="174"/>
      <c r="M10" s="38"/>
      <c r="O10" s="37" t="s">
        <v>3264</v>
      </c>
      <c r="P10" s="174"/>
      <c r="Q10" s="38"/>
      <c r="S10" s="37" t="s">
        <v>3264</v>
      </c>
      <c r="T10" s="174"/>
      <c r="U10" s="38"/>
      <c r="W10" s="37" t="s">
        <v>3264</v>
      </c>
      <c r="X10" s="174"/>
      <c r="Y10" s="38"/>
      <c r="AA10" s="37" t="s">
        <v>3264</v>
      </c>
      <c r="AB10" s="174"/>
      <c r="AC10" s="38"/>
      <c r="AE10" s="37" t="s">
        <v>3264</v>
      </c>
      <c r="AF10" s="174"/>
      <c r="AG10" s="38"/>
      <c r="AI10" s="37" t="s">
        <v>3264</v>
      </c>
      <c r="AJ10" s="174"/>
      <c r="AK10" s="38"/>
      <c r="AM10" s="37" t="s">
        <v>3264</v>
      </c>
      <c r="AN10" s="174"/>
      <c r="AO10" s="38"/>
      <c r="AQ10" s="37" t="s">
        <v>3264</v>
      </c>
      <c r="AR10" s="174"/>
      <c r="AS10" s="38"/>
    </row>
    <row r="11" spans="1:45" ht="24" customHeight="1" thickBot="1" x14ac:dyDescent="0.4">
      <c r="A11" s="387" t="s">
        <v>4232</v>
      </c>
      <c r="B11" s="44" t="str">
        <f>IF(B10="", "-", IFERROR(IF(INDEX('Paramètres conversion combustib'!$B$2:$B$61, MATCH(B10, 'Paramètres conversion combustib'!$A$2:$A$61, 0))="", "MISSING VALUE", INDEX('Paramètres conversion combustib'!$B$2:$B$61, MATCH(B10, 'Paramètres conversion combustib'!$A$2:$A$61, 0))), "MISSING VALUE"))</f>
        <v>Liquide</v>
      </c>
      <c r="C11" s="38"/>
      <c r="E11" s="8" t="s">
        <v>4833</v>
      </c>
      <c r="K11" s="37" t="s">
        <v>3285</v>
      </c>
      <c r="L11" s="44" t="str">
        <f>IF(L10="", "-", IFERROR(IF(INDEX('Paramètres conversion combustib'!$B$2:$B$61, MATCH(L10, 'Paramètres conversion combustib'!$A$2:$A$61, 0))="", "MISSING VALUE", INDEX('Paramètres conversion combustib'!$B$2:$B$61, MATCH(L10, 'Paramètres conversion combustib'!$A$2:$A$61, 0))), "MISSING VALUE"))</f>
        <v>-</v>
      </c>
      <c r="M11" s="38"/>
      <c r="O11" s="37" t="s">
        <v>3285</v>
      </c>
      <c r="P11" s="44" t="str">
        <f>IF(P10="", "-", IFERROR(IF(INDEX('Paramètres conversion combustib'!$B$2:$B$61, MATCH(P10, 'Paramètres conversion combustib'!$A$2:$A$61, 0))="", "MISSING VALUE", INDEX('Paramètres conversion combustib'!$B$2:$B$61, MATCH(P10, 'Paramètres conversion combustib'!$A$2:$A$61, 0))), "MISSING VALUE"))</f>
        <v>-</v>
      </c>
      <c r="Q11" s="38"/>
      <c r="S11" s="37" t="s">
        <v>3285</v>
      </c>
      <c r="T11" s="44" t="str">
        <f>IF(T10="", "-", IFERROR(IF(INDEX('Paramètres conversion combustib'!$B$2:$B$61, MATCH(T10, 'Paramètres conversion combustib'!$A$2:$A$61, 0))="", "MISSING VALUE", INDEX('Paramètres conversion combustib'!$B$2:$B$61, MATCH(T10, 'Paramètres conversion combustib'!$A$2:$A$61, 0))), "MISSING VALUE"))</f>
        <v>-</v>
      </c>
      <c r="U11" s="38"/>
      <c r="W11" s="37" t="s">
        <v>3285</v>
      </c>
      <c r="X11" s="44" t="str">
        <f>IF(X10="", "-", IFERROR(IF(INDEX('Paramètres conversion combustib'!$B$2:$B$61, MATCH(X10, 'Paramètres conversion combustib'!$A$2:$A$61, 0))="", "MISSING VALUE", INDEX('Paramètres conversion combustib'!$B$2:$B$61, MATCH(X10, 'Paramètres conversion combustib'!$A$2:$A$61, 0))), "MISSING VALUE"))</f>
        <v>-</v>
      </c>
      <c r="Y11" s="38"/>
      <c r="AA11" s="37" t="s">
        <v>3285</v>
      </c>
      <c r="AB11" s="44" t="str">
        <f>IF(AB10="", "-", IFERROR(IF(INDEX('Paramètres conversion combustib'!$B$2:$B$61, MATCH(AB10, 'Paramètres conversion combustib'!$A$2:$A$61, 0))="", "MISSING VALUE", INDEX('Paramètres conversion combustib'!$B$2:$B$61, MATCH(AB10, 'Paramètres conversion combustib'!$A$2:$A$61, 0))), "MISSING VALUE"))</f>
        <v>-</v>
      </c>
      <c r="AC11" s="38"/>
      <c r="AE11" s="37" t="s">
        <v>3285</v>
      </c>
      <c r="AF11" s="44" t="str">
        <f>IF(AF10="", "-", IFERROR(IF(INDEX('Paramètres conversion combustib'!$B$2:$B$61, MATCH(AF10, 'Paramètres conversion combustib'!$A$2:$A$61, 0))="", "MISSING VALUE", INDEX('Paramètres conversion combustib'!$B$2:$B$61, MATCH(AF10, 'Paramètres conversion combustib'!$A$2:$A$61, 0))), "MISSING VALUE"))</f>
        <v>-</v>
      </c>
      <c r="AG11" s="38"/>
      <c r="AI11" s="37" t="s">
        <v>3285</v>
      </c>
      <c r="AJ11" s="44" t="str">
        <f>IF(AJ10="", "-", IFERROR(IF(INDEX('Paramètres conversion combustib'!$B$2:$B$61, MATCH(AJ10, 'Paramètres conversion combustib'!$A$2:$A$61, 0))="", "MISSING VALUE", INDEX('Paramètres conversion combustib'!$B$2:$B$61, MATCH(AJ10, 'Paramètres conversion combustib'!$A$2:$A$61, 0))), "MISSING VALUE"))</f>
        <v>-</v>
      </c>
      <c r="AK11" s="38"/>
      <c r="AM11" s="37" t="s">
        <v>3285</v>
      </c>
      <c r="AN11" s="44" t="str">
        <f>IF(AN10="", "-", IFERROR(IF(INDEX('Paramètres conversion combustib'!$B$2:$B$61, MATCH(AN10, 'Paramètres conversion combustib'!$A$2:$A$61, 0))="", "MISSING VALUE", INDEX('Paramètres conversion combustib'!$B$2:$B$61, MATCH(AN10, 'Paramètres conversion combustib'!$A$2:$A$61, 0))), "MISSING VALUE"))</f>
        <v>-</v>
      </c>
      <c r="AO11" s="38"/>
      <c r="AQ11" s="37" t="s">
        <v>3285</v>
      </c>
      <c r="AR11" s="44" t="str">
        <f>IF(AR10="", "-", IFERROR(IF(INDEX('Paramètres conversion combustib'!$B$2:$B$61, MATCH(AR10, 'Paramètres conversion combustib'!$A$2:$A$61, 0))="", "MISSING VALUE", INDEX('Paramètres conversion combustib'!$B$2:$B$61, MATCH(AR10, 'Paramètres conversion combustib'!$A$2:$A$61, 0))), "MISSING VALUE"))</f>
        <v>-</v>
      </c>
      <c r="AS11" s="38"/>
    </row>
    <row r="12" spans="1:45" ht="15" thickBot="1" x14ac:dyDescent="0.4">
      <c r="A12" s="32" t="s">
        <v>4243</v>
      </c>
      <c r="B12" s="44" t="str">
        <f>IF(B10="", "-", IFERROR(IF(INDEX('Paramètres conversion combustib'!$F$2:$F$61, MATCH(B10, 'Paramètres conversion combustib'!$A$2:$A$61, 0))="", "MISSING VALUE", INDEX('Paramètres conversion combustib'!$F$2:$F$61, MATCH(B10, 'Paramètres conversion combustib'!$A$2:$A$61, 0))), "MISSING VALUE"))</f>
        <v>Non renouvelable</v>
      </c>
      <c r="C12" s="38"/>
      <c r="E12" s="8" t="s">
        <v>4834</v>
      </c>
      <c r="K12" s="37" t="s">
        <v>3869</v>
      </c>
      <c r="L12" s="44" t="str">
        <f>IF(L10="", "-", IFERROR(IF(INDEX('Paramètres conversion combustib'!$F$2:$F$61, MATCH(L10, 'Paramètres conversion combustib'!$A$2:$A$61, 0))="", "MISSING VALUE", INDEX('Paramètres conversion combustib'!$F$2:$F$61, MATCH(L10, 'Paramètres conversion combustib'!$A$2:$A$61, 0))), "MISSING VALUE"))</f>
        <v>-</v>
      </c>
      <c r="M12" s="38"/>
      <c r="O12" s="37" t="s">
        <v>3869</v>
      </c>
      <c r="P12" s="44" t="str">
        <f>IF(P10="", "-", IFERROR(IF(INDEX('Paramètres conversion combustib'!$F$2:$F$61, MATCH(P10, 'Paramètres conversion combustib'!$A$2:$A$61, 0))="", "MISSING VALUE", INDEX('Paramètres conversion combustib'!$F$2:$F$61, MATCH(P10, 'Paramètres conversion combustib'!$A$2:$A$61, 0))), "MISSING VALUE"))</f>
        <v>-</v>
      </c>
      <c r="Q12" s="38"/>
      <c r="S12" s="32" t="s">
        <v>3869</v>
      </c>
      <c r="T12" s="44" t="str">
        <f>IF(T10="", "-", IFERROR(IF(INDEX('Paramètres conversion combustib'!$F$2:$F$61, MATCH(T10, 'Paramètres conversion combustib'!$A$2:$A$61, 0))="", "MISSING VALUE", INDEX('Paramètres conversion combustib'!$F$2:$F$61, MATCH(T10, 'Paramètres conversion combustib'!$A$2:$A$61, 0))), "MISSING VALUE"))</f>
        <v>-</v>
      </c>
      <c r="U12" s="38"/>
      <c r="W12" s="32" t="s">
        <v>3869</v>
      </c>
      <c r="X12" s="44" t="str">
        <f>IF(X10="", "-", IFERROR(IF(INDEX('Paramètres conversion combustib'!$F$2:$F$61, MATCH(X10, 'Paramètres conversion combustib'!$A$2:$A$61, 0))="", "MISSING VALUE", INDEX('Paramètres conversion combustib'!$F$2:$F$61, MATCH(X10, 'Paramètres conversion combustib'!$A$2:$A$61, 0))), "MISSING VALUE"))</f>
        <v>-</v>
      </c>
      <c r="Y12" s="38"/>
      <c r="AA12" s="32" t="s">
        <v>3869</v>
      </c>
      <c r="AB12" s="44" t="str">
        <f>IF(AB10="", "-", IFERROR(IF(INDEX('Paramètres conversion combustib'!$F$2:$F$61, MATCH(AB10, 'Paramètres conversion combustib'!$A$2:$A$61, 0))="", "MISSING VALUE", INDEX('Paramètres conversion combustib'!$F$2:$F$61, MATCH(AB10, 'Paramètres conversion combustib'!$A$2:$A$61, 0))), "MISSING VALUE"))</f>
        <v>-</v>
      </c>
      <c r="AC12" s="38"/>
      <c r="AE12" s="32" t="s">
        <v>3869</v>
      </c>
      <c r="AF12" s="44" t="str">
        <f>IF(AF10="", "-", IFERROR(IF(INDEX('Paramètres conversion combustib'!$F$2:$F$61, MATCH(AF10, 'Paramètres conversion combustib'!$A$2:$A$61, 0))="", "MISSING VALUE", INDEX('Paramètres conversion combustib'!$F$2:$F$61, MATCH(AF10, 'Paramètres conversion combustib'!$A$2:$A$61, 0))), "MISSING VALUE"))</f>
        <v>-</v>
      </c>
      <c r="AG12" s="38"/>
      <c r="AI12" s="32" t="s">
        <v>3869</v>
      </c>
      <c r="AJ12" s="44" t="str">
        <f>IF(AJ10="", "-", IFERROR(IF(INDEX('Paramètres conversion combustib'!$F$2:$F$61, MATCH(AJ10, 'Paramètres conversion combustib'!$A$2:$A$61, 0))="", "MISSING VALUE", INDEX('Paramètres conversion combustib'!$F$2:$F$61, MATCH(AJ10, 'Paramètres conversion combustib'!$A$2:$A$61, 0))), "MISSING VALUE"))</f>
        <v>-</v>
      </c>
      <c r="AK12" s="38"/>
      <c r="AM12" s="32" t="s">
        <v>3869</v>
      </c>
      <c r="AN12" s="44" t="str">
        <f>IF(AN10="", "-", IFERROR(IF(INDEX('Paramètres conversion combustib'!$F$2:$F$61, MATCH(AN10, 'Paramètres conversion combustib'!$A$2:$A$61, 0))="", "MISSING VALUE", INDEX('Paramètres conversion combustib'!$F$2:$F$61, MATCH(AN10, 'Paramètres conversion combustib'!$A$2:$A$61, 0))), "MISSING VALUE"))</f>
        <v>-</v>
      </c>
      <c r="AO12" s="38"/>
      <c r="AQ12" s="32" t="s">
        <v>3869</v>
      </c>
      <c r="AR12" s="44" t="str">
        <f>IF(AR10="", "-", IFERROR(IF(INDEX('Paramètres conversion combustib'!$F$2:$F$61, MATCH(AR10, 'Paramètres conversion combustib'!$A$2:$A$61, 0))="", "MISSING VALUE", INDEX('Paramètres conversion combustib'!$F$2:$F$61, MATCH(AR10, 'Paramètres conversion combustib'!$A$2:$A$61, 0))), "MISSING VALUE"))</f>
        <v>-</v>
      </c>
      <c r="AS12" s="38"/>
    </row>
    <row r="13" spans="1:45" x14ac:dyDescent="0.35">
      <c r="A13" s="39"/>
      <c r="B13" s="18"/>
      <c r="C13" s="38"/>
      <c r="E13" s="8" t="s">
        <v>4835</v>
      </c>
      <c r="K13" s="39"/>
      <c r="L13" s="18"/>
      <c r="M13" s="38"/>
      <c r="O13" s="39"/>
      <c r="P13" s="18"/>
      <c r="Q13" s="38"/>
      <c r="S13" s="39"/>
      <c r="T13" s="18"/>
      <c r="U13" s="38"/>
      <c r="W13" s="39"/>
      <c r="X13" s="18"/>
      <c r="Y13" s="38"/>
      <c r="AA13" s="39"/>
      <c r="AB13" s="18"/>
      <c r="AC13" s="38"/>
      <c r="AE13" s="39"/>
      <c r="AF13" s="18"/>
      <c r="AG13" s="38"/>
      <c r="AI13" s="39"/>
      <c r="AJ13" s="18"/>
      <c r="AK13" s="38"/>
      <c r="AM13" s="39"/>
      <c r="AN13" s="18"/>
      <c r="AO13" s="38"/>
      <c r="AQ13" s="39"/>
      <c r="AR13" s="18"/>
      <c r="AS13" s="38"/>
    </row>
    <row r="14" spans="1:45" x14ac:dyDescent="0.35">
      <c r="A14" s="40"/>
      <c r="B14" s="8"/>
      <c r="C14" s="38"/>
      <c r="E14" s="8" t="s">
        <v>4836</v>
      </c>
      <c r="K14" s="40"/>
      <c r="M14" s="38"/>
      <c r="O14" s="40"/>
      <c r="Q14" s="38"/>
      <c r="S14" s="40"/>
      <c r="U14" s="38"/>
      <c r="W14" s="40"/>
      <c r="Y14" s="38"/>
      <c r="AA14" s="40"/>
      <c r="AC14" s="38"/>
      <c r="AE14" s="40"/>
      <c r="AG14" s="38"/>
      <c r="AI14" s="40"/>
      <c r="AK14" s="38"/>
      <c r="AM14" s="40"/>
      <c r="AN14" s="8"/>
      <c r="AO14" s="38"/>
      <c r="AQ14" s="40"/>
      <c r="AS14" s="38"/>
    </row>
    <row r="15" spans="1:45" ht="15" thickBot="1" x14ac:dyDescent="0.4">
      <c r="A15" s="41"/>
      <c r="B15" s="8"/>
      <c r="C15" s="38"/>
      <c r="E15" s="8" t="s">
        <v>4837</v>
      </c>
      <c r="K15" s="41"/>
      <c r="M15" s="38"/>
      <c r="O15" s="40"/>
      <c r="Q15" s="38"/>
      <c r="S15" s="40"/>
      <c r="U15" s="38"/>
      <c r="W15" s="40"/>
      <c r="Y15" s="38"/>
      <c r="AA15" s="40"/>
      <c r="AC15" s="38"/>
      <c r="AE15" s="40"/>
      <c r="AG15" s="38"/>
      <c r="AI15" s="40"/>
      <c r="AK15" s="38"/>
      <c r="AM15" s="40"/>
      <c r="AN15" s="8"/>
      <c r="AO15" s="38"/>
      <c r="AQ15" s="40"/>
      <c r="AS15" s="38"/>
    </row>
    <row r="16" spans="1:45" ht="15" thickBot="1" x14ac:dyDescent="0.4">
      <c r="A16" s="42" t="s">
        <v>4149</v>
      </c>
      <c r="B16" s="175" t="s">
        <v>4880</v>
      </c>
      <c r="C16" s="233" t="str">
        <f>IF(AND(B16="", B11="Liquid"),
   "Liquid fuel: please select one unit of measurement among m³ and L",
IF(AND(OR(B16="m³ - cubic meters", B16="L - Liter"), B11="Liquid"),
   "",
IF(AND(OR(B16="Gg - Gigagram", B16="t - tonne", B16="Kg - Kilogram", B16="g - gram"), B11="Liquid"),
   "Liquid fuel: please change unit of measurement, select one among m³ and L",
IF(AND(B16="", B11="Gaseous"),
   "Gaseous fuel: please select one unit of measurement among m³ and L",
IF(AND(OR(B16="m³ - cubic meters", B16="L - Liter"), B11="Gaseous"),
   "",
IF(AND(OR(B16="Gg - Gigagram", B16="t - tonne", B16="Kg - Kilogram", B16="g - gram"), B11="Gaseous"),
   "Gaseous fuel: please change unit of measurement, select one among m³ and L",
IF(AND(B16="", B11="Solid"),
   "Solid fuel: please select one unit of measurement among Gg, t, Kg and g",
IF(AND(OR(B16="Gg - Gigagram", B16="t - tonne", B16="Kg - Kilogram", B16="g - gram"), B11="Solid"),
   "",
IF(AND(OR(B16="m³ - cubic meters", B16="L - Liter"), B11="Solid"),
   "Solid fuel: please change unit of measurement, select one among Gg, t, Kg and g",
"")))))))))</f>
        <v/>
      </c>
      <c r="E16" s="388" t="s">
        <v>4838</v>
      </c>
      <c r="K16" s="42" t="s">
        <v>2458</v>
      </c>
      <c r="L16" s="175"/>
      <c r="M16" s="233" t="str">
        <f>IF(AND(L16="", L11="Liquid"),
   "Liquid fuel: please select one unit of measurement among m³ and L",
IF(AND(OR(L16="m³ - cubic meters", L16="L - Liter"), L11="Liquid"),
   "",
IF(AND(OR(L16="Gg - Gigagram", L16="t - tonne", L16="Kg - Kilogram", L16="g - gram"), L11="Liquid"),
   "Liquid fuel: please change unit of measurement, select one among m³ and L",
IF(AND(L16="", L11="Gaseous"),
   "Gaseous fuel: please select one unit of measurement among m³ and L",
IF(AND(OR(L16="m³ - cubic meters", L16="L - Liter"), L11="Gaseous"),
   "",
IF(AND(OR(L16="Gg - Gigagram", L16="t - tonne", L16="Kg - Kilogram", L16="g - gram"), L11="Gaseous"),
   "Gaseous fuel: please change unit of measurement, select one among m³ and L",
IF(AND(L16="", L11="Solid"),
   "Solid fuel: please select one unit of measurement among Gg, t, Kg and g",
IF(AND(OR(L16="Gg - Gigagram", L16="t - tonne", L16="Kg - Kilogram", L16="g - gram"), L11="Solid"),
   "",
IF(AND(OR(L16="m³ - cubic meters", L16="L - Liter"), L11="Solid"),
   "Solid fuel: please change unit of measurement, select one among Gg, t, Kg and g",
"")))))))))</f>
        <v/>
      </c>
      <c r="O16" s="42" t="s">
        <v>2458</v>
      </c>
      <c r="P16" s="175"/>
      <c r="Q16" s="38" t="str">
        <f>IF(AND(P16="", P11="Liquid"),
   "Liquid fuel: please select one unit of measurement among m³ and L",
IF(AND(OR(P16="m³ - cubic meters", P16="L - Liter"), P11="Liquid"),
   "",
IF(AND(OR(P16="Gg - Gigagram", P16="t - tonne", P16="Kg - Kilogram", P16="g - gram"), P11="Liquid"),
   "Liquid fuel: please change unit of measurement, select one among m³ and L",
IF(AND(P16="", P11="Gaseous"),
   "Gaseous fuel: please select one unit of measurement among m³ and L",
IF(AND(OR(P16="m³ - cubic meters", P16="L - Liter"), P11="Gaseous"),
   "",
IF(AND(OR(P16="Gg - Gigagram", P16="t - tonne", P16="Kg - Kilogram", P16="g - gram"), P11="Gaseous"),
   "Gaseous fuel: please change unit of measurement, select one among m³ and L",
IF(AND(P16="", P11="Solid"),
   "Solid fuel: please select one unit of measurement among Gg, t, Kg and g",
IF(AND(OR(P16="Gg - Gigagram", P16="t - tonne", P16="Kg - Kilogram", P16="g - gram"), P11="Solid"),
   "",
IF(AND(OR(P16="m³ - cubic meters", P16="L - Liter"), P11="Solid"),
   "Solid fuel: please change unit of measurement, select one among Gg, t, Kg and g",
"")))))))))</f>
        <v/>
      </c>
      <c r="S16" s="42" t="s">
        <v>2458</v>
      </c>
      <c r="T16" s="175"/>
      <c r="U16" s="233" t="str">
        <f>IF(AND(T16="", T11="Liquid"),
   "Liquid fuel: please select one unit of measurement among m³ and L",
IF(AND(OR(T16="m³ - cubic meters", T16="L - Liter"), T11="Liquid"),
   "",
IF(AND(OR(T16="Gg - Gigagram", T16="t - tonne", T16="Kg - Kilogram", T16="g - gram"), T11="Liquid"),
   "Liquid fuel: please change unit of measurement, select one among m³ and L",
IF(AND(T16="", T11="Gaseous"),
   "Gaseous fuel: please select one unit of measurement among m³ and L",
IF(AND(OR(T16="m³ - cubic meters", T16="L - Liter"), T11="Gaseous"),
   "",
IF(AND(OR(T16="Gg - Gigagram", T16="t - tonne", T16="Kg - Kilogram", T16="g - gram"), T11="Gaseous"),
   "Gaseous fuel: please change unit of measurement, select one among m³ and L",
IF(AND(T16="", T11="Solid"),
   "Solid fuel: please select one unit of measurement among Gg, t, Kg and g",
IF(AND(OR(T16="Gg - Gigagram", T16="t - tonne", T16="Kg - Kilogram", T16="g - gram"), T11="Solid"),
   "",
IF(AND(OR(T16="m³ - cubic meters", T16="L - Liter"), T11="Solid"),
   "Solid fuel: please change unit of measurement, select one among Gg, t, Kg and g",
"")))))))))</f>
        <v/>
      </c>
      <c r="W16" s="42" t="s">
        <v>2458</v>
      </c>
      <c r="X16" s="175"/>
      <c r="Y16" s="233" t="str">
        <f>IF(AND(X16="", X11="Liquid"),
   "Liquid fuel: please select one unit of measurement among m³ and L",
IF(AND(OR(X16="m³ - cubic meters", X16="L - Liter"), X11="Liquid"),
   "",
IF(AND(OR(X16="Gg - Gigagram", X16="t - tonne", X16="Kg - Kilogram", X16="g - gram"), X11="Liquid"),
   "Liquid fuel: please change unit of measurement, select one among m³ and L",
IF(AND(X16="", X11="Gaseous"),
   "Gaseous fuel: please select one unit of measurement among m³ and L",
IF(AND(OR(X16="m³ - cubic meters", X16="L - Liter"), X11="Gaseous"),
   "",
IF(AND(OR(X16="Gg - Gigagram", X16="t - tonne", X16="Kg - Kilogram", X16="g - gram"), X11="Gaseous"),
   "Gaseous fuel: please change unit of measurement, select one among m³ and L",
IF(AND(X16="", X11="Solid"),
   "Solid fuel: please select one unit of measurement among Gg, t, Kg and g",
IF(AND(OR(X16="Gg - Gigagram", X16="t - tonne", X16="Kg - Kilogram", X16="g - gram"), X11="Solid"),
   "",
IF(AND(OR(X16="m³ - cubic meters", X16="L - Liter"), X11="Solid"),
   "Solid fuel: please change unit of measurement, select one among Gg, t, Kg and g",
"")))))))))</f>
        <v/>
      </c>
      <c r="AA16" s="42" t="s">
        <v>2458</v>
      </c>
      <c r="AB16" s="175"/>
      <c r="AC16" s="233" t="str">
        <f>IF(AND(AB16="", AB11="Liquid"),
   "Liquid fuel: please select one unit of measurement among m³ and L",
IF(AND(OR(AB16="m³ - cubic meters", AB16="L - Liter"), AB11="Liquid"),
   "",
IF(AND(OR(AB16="Gg - Gigagram", AB16="t - tonne", AB16="Kg - Kilogram", AB16="g - gram"), AB11="Liquid"),
   "Liquid fuel: please change unit of measurement, select one among m³ and L",
IF(AND(AB16="", AB11="Gaseous"),
   "Gaseous fuel: please select one unit of measurement among m³ and L",
IF(AND(OR(AB16="m³ - cubic meters", AB16="L - Liter"), AB11="Gaseous"),
   "",
IF(AND(OR(AB16="Gg - Gigagram", AB16="t - tonne", AB16="Kg - Kilogram", AB16="g - gram"), AB11="Gaseous"),
   "Gaseous fuel: please change unit of measurement, select one among m³ and L",
IF(AND(AB16="", AB11="Solid"),
   "Solid fuel: please select one unit of measurement among Gg, t, Kg and g",
IF(AND(OR(AB16="Gg - Gigagram", AB16="t - tonne", AB16="Kg - Kilogram", AB16="g - gram"), AB11="Solid"),
   "",
IF(AND(OR(AB16="m³ - cubic meters", AB16="L - Liter"), AB11="Solid"),
   "Solid fuel: please change unit of measurement, select one among Gg, t, Kg and g",
"")))))))))</f>
        <v/>
      </c>
      <c r="AE16" s="42" t="s">
        <v>2458</v>
      </c>
      <c r="AF16" s="175"/>
      <c r="AG16" s="233" t="str">
        <f>IF(AND(AF16="", AF11="Liquid"),
   "Liquid fuel: please select one unit of measurement among m³ and L",
IF(AND(OR(AF16="m³ - cubic meters", AF16="L - Liter"), AF11="Liquid"),
   "",
IF(AND(OR(AF16="Gg - Gigagram", AF16="t - tonne", AF16="Kg - Kilogram", AF16="g - gram"), AF11="Liquid"),
   "Liquid fuel: please change unit of measurement, select one among m³ and L",
IF(AND(AF16="", AF11="Gaseous"),
   "Gaseous fuel: please select one unit of measurement among m³ and L",
IF(AND(OR(AF16="m³ - cubic meters", AF16="L - Liter"), AF11="Gaseous"),
   "",
IF(AND(OR(AF16="Gg - Gigagram", AF16="t - tonne", AF16="Kg - Kilogram", AF16="g - gram"), AF11="Gaseous"),
   "Gaseous fuel: please change unit of measurement, select one among m³ and L",
IF(AND(AF16="", AF11="Solid"),
   "Solid fuel: please select one unit of measurement among Gg, t, Kg and g",
IF(AND(OR(AF16="Gg - Gigagram", AF16="t - tonne", AF16="Kg - Kilogram", AF16="g - gram"), AF11="Solid"),
   "",
IF(AND(OR(AF16="m³ - cubic meters", AF16="L - Liter"), AF11="Solid"),
   "Solid fuel: please change unit of measurement, select one among Gg, t, Kg and g",
"")))))))))</f>
        <v/>
      </c>
      <c r="AI16" s="42" t="s">
        <v>2458</v>
      </c>
      <c r="AJ16" s="175"/>
      <c r="AK16" s="233" t="str">
        <f>IF(AND(AJ16="", AJ11="Liquid"),
   "Liquid fuel: please select one unit of measurement among m³ and L",
IF(AND(OR(AJ16="m³ - cubic meters", AJ16="L - Liter"), AJ11="Liquid"),
   "",
IF(AND(OR(AJ16="Gg - Gigagram", AJ16="t - tonne", AJ16="Kg - Kilogram", AJ16="g - gram"), AJ11="Liquid"),
   "Liquid fuel: please change unit of measurement, select one among m³ and L",
IF(AND(AJ16="", AJ11="Gaseous"),
   "Gaseous fuel: please select one unit of measurement among m³ and L",
IF(AND(OR(AJ16="m³ - cubic meters", AJ16="L - Liter"), AJ11="Gaseous"),
   "",
IF(AND(OR(AJ16="Gg - Gigagram", AJ16="t - tonne", AJ16="Kg - Kilogram", AJ16="g - gram"), AJ11="Gaseous"),
   "Gaseous fuel: please change unit of measurement, select one among m³ and L",
IF(AND(AJ16="", AJ11="Solid"),
   "Solid fuel: please select one unit of measurement among Gg, t, Kg and g",
IF(AND(OR(AJ16="Gg - Gigagram", AJ16="t - tonne", AJ16="Kg - Kilogram", AJ16="g - gram"), AJ11="Solid"),
   "",
IF(AND(OR(AJ16="m³ - cubic meters", AJ16="L - Liter"), AJ11="Solid"),
   "Solid fuel: please change unit of measurement, select one among Gg, t, Kg and g",
"")))))))))</f>
        <v/>
      </c>
      <c r="AM16" s="42" t="s">
        <v>2458</v>
      </c>
      <c r="AN16" s="175"/>
      <c r="AO16" s="233" t="str">
        <f>IF(AND(AN16="", AN11="Liquid"),
   "Liquid fuel: please select one unit of measurement among m³ and L",
IF(AND(OR(AN16="m³ - cubic meters", AN16="L - Liter"), AN11="Liquid"),
   "",
IF(AND(OR(AN16="Gg - Gigagram", AN16="t - tonne", AN16="Kg - Kilogram", AN16="g - gram"), AN11="Liquid"),
   "Liquid fuel: please change unit of measurement, select one among m³ and L",
IF(AND(AN16="", AN11="Gaseous"),
   "Gaseous fuel: please select one unit of measurement among m³ and L",
IF(AND(OR(AN16="m³ - cubic meters", AN16="L - Liter"), AN11="Gaseous"),
   "",
IF(AND(OR(AN16="Gg - Gigagram", AN16="t - tonne", AN16="Kg - Kilogram", AN16="g - gram"), AN11="Gaseous"),
   "Gaseous fuel: please change unit of measurement, select one among m³ and L",
IF(AND(AN16="", AN11="Solid"),
   "Solid fuel: please select one unit of measurement among Gg, t, Kg and g",
IF(AND(OR(AN16="Gg - Gigagram", AN16="t - tonne", AN16="Kg - Kilogram", AN16="g - gram"), AN11="Solid"),
   "",
IF(AND(OR(AN16="m³ - cubic meters", AN16="L - Liter"), AN11="Solid"),
   "Solid fuel: please change unit of measurement, select one among Gg, t, Kg and g",
"")))))))))</f>
        <v/>
      </c>
      <c r="AQ16" s="42" t="s">
        <v>2458</v>
      </c>
      <c r="AR16" s="175"/>
      <c r="AS16" s="233" t="str">
        <f>IF(AND(AR16="", AR11="Liquid"),
   "Liquid fuel: please select one unit of measurement among m³ and L",
IF(AND(OR(AR16="m³ - cubic meters", AR16="L - Liter"), AR11="Liquid"),
   "",
IF(AND(OR(AR16="Gg - Gigagram", AR16="t - tonne", AR16="Kg - Kilogram", AR16="g - gram"), AR11="Liquid"),
   "Liquid fuel: please change unit of measurement, select one among m³ and L",
IF(AND(AR16="", AR11="Gaseous"),
   "Gaseous fuel: please select one unit of measurement among m³ and L",
IF(AND(OR(AR16="m³ - cubic meters", AR16="L - Liter"), AR11="Gaseous"),
   "",
IF(AND(OR(AR16="Gg - Gigagram", AR16="t - tonne", AR16="Kg - Kilogram", AR16="g - gram"), AR11="Gaseous"),
   "Gaseous fuel: please change unit of measurement, select one among m³ and L",
IF(AND(AR16="", AR11="Solid"),
   "Solid fuel: please select one unit of measurement among Gg, t, Kg and g",
IF(AND(OR(AR16="Gg - Gigagram", AR16="t - tonne", AR16="Kg - Kilogram", AR16="g - gram"), AR11="Solid"),
   "",
IF(AND(OR(AR16="m³ - cubic meters", AR16="L - Liter"), AR11="Solid"),
   "Solid fuel: please change unit of measurement, select one among Gg, t, Kg and g",
"")))))))))</f>
        <v/>
      </c>
    </row>
    <row r="17" spans="1:45" ht="15" thickBot="1" x14ac:dyDescent="0.4">
      <c r="A17" s="37" t="s">
        <v>4235</v>
      </c>
      <c r="B17" s="176">
        <v>2590</v>
      </c>
      <c r="C17" s="38"/>
      <c r="K17" s="37" t="s">
        <v>3289</v>
      </c>
      <c r="L17" s="176"/>
      <c r="M17" s="38"/>
      <c r="O17" s="37" t="s">
        <v>3289</v>
      </c>
      <c r="P17" s="176"/>
      <c r="Q17" s="38"/>
      <c r="S17" s="37" t="s">
        <v>3289</v>
      </c>
      <c r="T17" s="176"/>
      <c r="U17" s="38"/>
      <c r="W17" s="37" t="s">
        <v>3289</v>
      </c>
      <c r="X17" s="176"/>
      <c r="Y17" s="38"/>
      <c r="AA17" s="37" t="s">
        <v>3289</v>
      </c>
      <c r="AB17" s="176"/>
      <c r="AC17" s="38"/>
      <c r="AE17" s="37" t="s">
        <v>3289</v>
      </c>
      <c r="AF17" s="176"/>
      <c r="AG17" s="38"/>
      <c r="AI17" s="37" t="s">
        <v>3289</v>
      </c>
      <c r="AJ17" s="176"/>
      <c r="AK17" s="38"/>
      <c r="AM17" s="37" t="s">
        <v>3289</v>
      </c>
      <c r="AN17" s="176"/>
      <c r="AO17" s="38"/>
      <c r="AQ17" s="37" t="s">
        <v>3289</v>
      </c>
      <c r="AR17" s="176"/>
      <c r="AS17" s="38"/>
    </row>
    <row r="18" spans="1:45" ht="18" customHeight="1" x14ac:dyDescent="0.35">
      <c r="A18" s="40"/>
      <c r="B18" s="178" t="str">
        <f>IF(B16="g - gram",B17*0.000000001,
IF(B16="Kg - Kilogram",B17*0.000001,
IF(B16="t - tonne",B17*0.001,
IF(B16="Gg - Gigagram",B17*1,
IF(B16="m³ - cubic meters",B17*1000,
IF(B16="L - Liter",B17*1,
""))))))</f>
        <v/>
      </c>
      <c r="C18" s="38"/>
      <c r="E18" s="224"/>
      <c r="F18" s="224"/>
      <c r="G18" s="224"/>
      <c r="H18" s="224"/>
      <c r="I18" s="224"/>
      <c r="K18" s="40"/>
      <c r="L18" s="178" t="str">
        <f>IF(L16="g - gram",L17*0.000000001,
IF(L16="Kg - Kilogram",L17*0.000001,
IF(L16="t - tonne",L17*0.001,
IF(L16="Gg - Gigagram",L17*1,
IF(L16="m³ - cubic meters",L17*1000,
IF(L16="L - Liter",L17*1,
""))))))</f>
        <v/>
      </c>
      <c r="M18" s="38"/>
      <c r="O18" s="40"/>
      <c r="P18" s="178" t="str">
        <f>IF(P16="g - gram",P17*0.000000001,
IF(P16="Kg - Kilogram",P17*0.000001,
IF(P16="t - tonne",P17*0.001,
IF(P16="Gg - Gigagram",P17*1,
IF(P16="m³ - cubic meters",P17*1000,
IF(P16="L - Liter",P17*1,
""))))))</f>
        <v/>
      </c>
      <c r="Q18" s="38"/>
      <c r="S18" s="40"/>
      <c r="T18" s="178" t="str">
        <f>IF(T16="g - gram",T17*0.000000001,
IF(T16="Kg - Kilogram",T17*0.000001,
IF(T16="t - tonne",T17*0.001,
IF(T16="Gg - Gigagram",T17*1,
IF(T16="m³ - cubic meters",T17*1000,
IF(T16="L - Liter",T17*1,
""))))))</f>
        <v/>
      </c>
      <c r="U18" s="38"/>
      <c r="W18" s="40"/>
      <c r="X18" s="178" t="str">
        <f>IF(X16="g - gram",X17*0.000000001,
IF(X16="Kg - Kilogram",X17*0.000001,
IF(X16="t - tonne",X17*0.001,
IF(X16="Gg - Gigagram",X17*1,
IF(X16="m³ - cubic meters",X17*1000,
IF(X16="L - Liter",X17*1,
""))))))</f>
        <v/>
      </c>
      <c r="Y18" s="38"/>
      <c r="AA18" s="40"/>
      <c r="AB18" s="178" t="str">
        <f>IF(AB16="g - gram",AB17*0.000000001,
IF(AB16="Kg - Kilogram",AB17*0.000001,
IF(AB16="t - tonne",AB17*0.001,
IF(AB16="Gg - Gigagram",AB17*1,
IF(AB16="m³ - cubic meters",AB17*1000,
IF(AB16="L - Liter",AB17*1,
""))))))</f>
        <v/>
      </c>
      <c r="AC18" s="38"/>
      <c r="AE18" s="40"/>
      <c r="AF18" s="178" t="str">
        <f>IF(AF16="g - gram",AF17*0.000000001,
IF(AF16="Kg - Kilogram",AF17*0.000001,
IF(AF16="t - tonne",AF17*0.001,
IF(AF16="Gg - Gigagram",AF17*1,
IF(AF16="m³ - cubic meters",AF17*1000,
IF(AF16="L - Liter",AF17*1,
""))))))</f>
        <v/>
      </c>
      <c r="AG18" s="38"/>
      <c r="AI18" s="40"/>
      <c r="AJ18" s="178" t="str">
        <f>IF(AJ16="g - gram",AJ17*0.000000001,
IF(AJ16="Kg - Kilogram",AJ17*0.000001,
IF(AJ16="t - tonne",AJ17*0.001,
IF(AJ16="Gg - Gigagram",AJ17*1,
IF(AJ16="m³ - cubic meters",AJ17*1000,
IF(AJ16="L - Liter",AJ17*1,
""))))))</f>
        <v/>
      </c>
      <c r="AK18" s="38"/>
      <c r="AM18" s="40"/>
      <c r="AN18" s="178" t="str">
        <f>IF(AN16="g - gram",AN17*0.000000001,
IF(AN16="Kg - Kilogram",AN17*0.000001,
IF(AN16="t - tonne",AN17*0.001,
IF(AN16="Gg - Gigagram",AN17*1,
IF(AN16="m³ - cubic meters",AN17*1000,
IF(AN16="L - Liter",AN17*1,
""))))))</f>
        <v/>
      </c>
      <c r="AO18" s="38"/>
      <c r="AQ18" s="40"/>
      <c r="AR18" s="178" t="str">
        <f>IF(AR16="g - gram",AR17*0.000000001,
IF(AR16="Kg - Kilogram",AR17*0.000001,
IF(AR16="t - tonne",AR17*0.001,
IF(AR16="Gg - Gigagram",AR17*1,
IF(AR16="m³ - cubic meters",AR17*1000,
IF(AR16="L - Liter",AR17*1,
""))))))</f>
        <v/>
      </c>
      <c r="AS18" s="38"/>
    </row>
    <row r="19" spans="1:45" x14ac:dyDescent="0.35">
      <c r="A19" s="40"/>
      <c r="B19" s="16"/>
      <c r="C19" s="38"/>
      <c r="K19" s="40"/>
      <c r="L19" s="16"/>
      <c r="M19" s="38"/>
      <c r="O19" s="40"/>
      <c r="P19" s="16"/>
      <c r="Q19" s="38"/>
      <c r="S19" s="40"/>
      <c r="T19" s="16"/>
      <c r="U19" s="38"/>
      <c r="W19" s="40"/>
      <c r="X19" s="16"/>
      <c r="Y19" s="38"/>
      <c r="AA19" s="40"/>
      <c r="AB19" s="16"/>
      <c r="AC19" s="38"/>
      <c r="AE19" s="40"/>
      <c r="AF19" s="16"/>
      <c r="AG19" s="38"/>
      <c r="AI19" s="40"/>
      <c r="AJ19" s="16"/>
      <c r="AK19" s="38"/>
      <c r="AM19" s="40"/>
      <c r="AN19" s="16"/>
      <c r="AO19" s="38"/>
      <c r="AQ19" s="40"/>
      <c r="AR19" s="16"/>
      <c r="AS19" s="38"/>
    </row>
    <row r="20" spans="1:45" ht="15" thickBot="1" x14ac:dyDescent="0.4">
      <c r="A20" s="8"/>
      <c r="B20" s="8"/>
      <c r="C20" s="38"/>
      <c r="K20" s="40"/>
      <c r="M20" s="38"/>
      <c r="O20" s="40"/>
      <c r="Q20" s="38"/>
      <c r="S20" s="40"/>
      <c r="U20" s="38"/>
      <c r="W20" s="40"/>
      <c r="Y20" s="38"/>
      <c r="AA20" s="40"/>
      <c r="AC20" s="38"/>
      <c r="AE20" s="40"/>
      <c r="AG20" s="38"/>
      <c r="AI20" s="40"/>
      <c r="AK20" s="38"/>
      <c r="AM20" s="40"/>
      <c r="AN20" s="8"/>
      <c r="AO20" s="38"/>
      <c r="AQ20" s="40"/>
      <c r="AS20" s="38"/>
    </row>
    <row r="21" spans="1:45" ht="15" thickBot="1" x14ac:dyDescent="0.4">
      <c r="A21" s="37" t="s">
        <v>4233</v>
      </c>
      <c r="B21" s="8"/>
      <c r="C21" s="38"/>
      <c r="E21" s="224"/>
      <c r="F21" s="224"/>
      <c r="G21" s="224"/>
      <c r="H21" s="224"/>
      <c r="I21" s="224"/>
      <c r="K21" s="37" t="s">
        <v>3265</v>
      </c>
      <c r="M21" s="38"/>
      <c r="O21" s="37" t="s">
        <v>3265</v>
      </c>
      <c r="Q21" s="38"/>
      <c r="S21" s="37" t="s">
        <v>3265</v>
      </c>
      <c r="U21" s="38"/>
      <c r="W21" s="37" t="s">
        <v>3265</v>
      </c>
      <c r="Y21" s="38"/>
      <c r="AA21" s="37" t="s">
        <v>3265</v>
      </c>
      <c r="AC21" s="38"/>
      <c r="AE21" s="37" t="s">
        <v>3265</v>
      </c>
      <c r="AG21" s="38"/>
      <c r="AI21" s="37" t="s">
        <v>3265</v>
      </c>
      <c r="AK21" s="38"/>
      <c r="AM21" s="37" t="s">
        <v>3265</v>
      </c>
      <c r="AN21" s="8"/>
      <c r="AO21" s="38"/>
      <c r="AQ21" s="37" t="s">
        <v>3265</v>
      </c>
      <c r="AS21" s="38"/>
    </row>
    <row r="22" spans="1:45" ht="15" thickBot="1" x14ac:dyDescent="0.4">
      <c r="A22" s="43" t="str">
        <f>IF(OR(
   A23="",
   B17="",
   C16="Combustible liquide: veuillez changer l'unité de mesure, choisissez m³ ou l",
   C16="Combustible gazeux: veuillez changer l'unité de mesure, choisissez m³ ou l",
   C16="Combustible solide: veuillez changer l'unité de mesure, choisissez Gg, t, kg ou g"
),
"-",
IFERROR(A23*277.778, "")
)</f>
        <v>-</v>
      </c>
      <c r="B22" s="8" t="str">
        <f>IFERROR(IF(AND(B17&lt;&gt;0,A22=0),"ERROR",""),"")</f>
        <v/>
      </c>
      <c r="C22" s="38"/>
      <c r="K22" s="43" t="str">
        <f>IF(OR(
   K23="",
   L17="",
   M16="Liquid fuel: please change unit of measurement, select one among m³ and L",
   M16="Gaseous fuel: please change unit of measurement, select one among m³ and L",
   M16="Solid fuel: please change unit of measurement, select one among Gg, t, Kg and g"
),
"-",
IFERROR(K23*277.778, "")
)</f>
        <v>-</v>
      </c>
      <c r="L22" s="8" t="str">
        <f>IFERROR(IF(AND(L17&lt;&gt;0,K22=0),"ERROR",""),"")</f>
        <v/>
      </c>
      <c r="M22" s="38"/>
      <c r="O22" s="43" t="str">
        <f>IF(OR(
   O23="",
   P17="",
   Q16="Liquid fuel: please change unit of measurement, select one among m³ and L",
   Q16="Gaseous fuel: please change unit of measurement, select one among m³ and L",
   Q16="Solid fuel: please change unit of measurement, select one among Gg, t, Kg and g"
),
"-",
IFERROR(O23*277.778, "")
)</f>
        <v>-</v>
      </c>
      <c r="P22" s="8" t="str">
        <f>IFERROR(IF(AND(P17&lt;&gt;0,O22=0),"ERROR",""),"")</f>
        <v/>
      </c>
      <c r="Q22" s="38"/>
      <c r="S22" s="43" t="str">
        <f>IF(OR(
   S23="",
   T17="",
   U16="Liquid fuel: please change unit of measurement, select one among m³ and L",
   U16="Gaseous fuel: please change unit of measurement, select one among m³ and L",
   U16="Solid fuel: please change unit of measurement, select one among Gg, t, Kg and g"
),
"-",
IFERROR(S23*277.778, "")
)</f>
        <v>-</v>
      </c>
      <c r="T22" s="8" t="str">
        <f>IFERROR(IF(AND(T17&lt;&gt;0,S22=0),"ERROR",""),"")</f>
        <v/>
      </c>
      <c r="U22" s="38"/>
      <c r="W22" s="43" t="str">
        <f>IF(OR(
   W23="",
   X17="",
   Y16="Liquid fuel: please change unit of measurement, select one among m³ and L",
   Y16="Gaseous fuel: please change unit of measurement, select one among m³ and L",
   Y16="Solid fuel: please change unit of measurement, select one among Gg, t, Kg and g"
),
"-",
IFERROR(W23*277.778, "")
)</f>
        <v>-</v>
      </c>
      <c r="X22" s="8" t="str">
        <f>IFERROR(IF(AND(X17&lt;&gt;0,W22=0),"ERROR",""),"")</f>
        <v/>
      </c>
      <c r="Y22" s="38"/>
      <c r="AA22" s="43" t="str">
        <f>IF(OR(
   AA23="",
   AB17="",
   AC16="Liquid fuel: please change unit of measurement, select one among m³ and L",
   AC16="Gaseous fuel: please change unit of measurement, select one among m³ and L",
   AC16="Solid fuel: please change unit of measurement, select one among Gg, t, Kg and g"
),
"-",
IFERROR(AA23*277.778, "")
)</f>
        <v>-</v>
      </c>
      <c r="AB22" s="8" t="str">
        <f>IFERROR(IF(AND(AB17&lt;&gt;0,AA22=0),"ERROR",""),"")</f>
        <v/>
      </c>
      <c r="AC22" s="38"/>
      <c r="AE22" s="43" t="str">
        <f>IF(OR(
   AE23="",
   AF17="",
   AG16="Liquid fuel: please change unit of measurement, select one among m³ and L",
   AG16="Gaseous fuel: please change unit of measurement, select one among m³ and L",
   AG16="Solid fuel: please change unit of measurement, select one among Gg, t, Kg and g"
),
"-",
IFERROR(AE23*277.778, "")
)</f>
        <v>-</v>
      </c>
      <c r="AF22" s="8" t="str">
        <f>IFERROR(IF(AND(AF17&lt;&gt;0,AE22=0),"ERROR",""),"")</f>
        <v/>
      </c>
      <c r="AG22" s="38"/>
      <c r="AI22" s="43" t="str">
        <f>IF(OR(
   AI23="",
   AJ17="",
   AK16="Liquid fuel: please change unit of measurement, select one among m³ and L",
   AK16="Gaseous fuel: please change unit of measurement, select one among m³ and L",
   AK16="Solid fuel: please change unit of measurement, select one among Gg, t, Kg and g"
),
"-",
IFERROR(AI23*277.778, "")
)</f>
        <v>-</v>
      </c>
      <c r="AJ22" s="8" t="str">
        <f>IFERROR(IF(AND(AJ17&lt;&gt;0,AI22=0),"ERROR",""),"")</f>
        <v/>
      </c>
      <c r="AK22" s="38"/>
      <c r="AM22" s="43" t="str">
        <f>IF(OR(
   AM23="",
   AN17="",
   AO16="Liquid fuel: please change unit of measurement, select one among m³ and L",
   AO16="Gaseous fuel: please change unit of measurement, select one among m³ and L",
   AO16="Solid fuel: please change unit of measurement, select one among Gg, t, Kg and g"
),
"-",
IFERROR(AM23*277.778, "")
)</f>
        <v>-</v>
      </c>
      <c r="AN22" s="8" t="str">
        <f>IFERROR(IF(AND(AN17&lt;&gt;0,AM22=0),"ERROR",""),"")</f>
        <v/>
      </c>
      <c r="AO22" s="38"/>
      <c r="AQ22" s="43" t="str">
        <f>IF(OR(
   AQ23="",
   AR17="",
   AS16="Liquid fuel: please change unit of measurement, select one among m³ and L",
   AS16="Gaseous fuel: please change unit of measurement, select one among m³ and L",
   AS16="Solid fuel: please change unit of measurement, select one among Gg, t, Kg and g"
),
"-",
IFERROR(AQ23*277.778, "")
)</f>
        <v>-</v>
      </c>
      <c r="AR22" s="8" t="str">
        <f>IFERROR(IF(AND(AR17&lt;&gt;0,AQ22=0),"ERROR",""),"")</f>
        <v/>
      </c>
      <c r="AS22" s="38"/>
    </row>
    <row r="23" spans="1:45" x14ac:dyDescent="0.35">
      <c r="A23" s="221" t="str">
        <f>IFERROR(A26, "")</f>
        <v/>
      </c>
      <c r="B23" s="79"/>
      <c r="C23" s="222"/>
      <c r="K23" s="223" t="str">
        <f>IFERROR(K26, "")</f>
        <v/>
      </c>
      <c r="L23" s="79"/>
      <c r="M23" s="222"/>
      <c r="O23" s="223" t="str">
        <f>IFERROR(O26, "")</f>
        <v/>
      </c>
      <c r="P23" s="79"/>
      <c r="Q23" s="222"/>
      <c r="S23" s="223" t="str">
        <f>IFERROR(S26, "")</f>
        <v/>
      </c>
      <c r="T23" s="79"/>
      <c r="U23" s="222"/>
      <c r="W23" s="223" t="str">
        <f>IFERROR(W26, "")</f>
        <v/>
      </c>
      <c r="X23" s="79"/>
      <c r="Y23" s="222"/>
      <c r="AA23" s="223" t="str">
        <f>IFERROR(AA26, "")</f>
        <v/>
      </c>
      <c r="AB23" s="79"/>
      <c r="AC23" s="222"/>
      <c r="AE23" s="223" t="str">
        <f>IFERROR(AE26, "")</f>
        <v/>
      </c>
      <c r="AF23" s="79"/>
      <c r="AG23" s="222"/>
      <c r="AI23" s="223" t="str">
        <f>IFERROR(AI26, "")</f>
        <v/>
      </c>
      <c r="AJ23" s="79"/>
      <c r="AK23" s="222"/>
      <c r="AM23" s="223" t="str">
        <f>IFERROR(AM26, "")</f>
        <v/>
      </c>
      <c r="AN23" s="79"/>
      <c r="AO23" s="222"/>
      <c r="AQ23" s="223" t="str">
        <f>IFERROR(AQ26, "")</f>
        <v/>
      </c>
      <c r="AR23" s="79"/>
      <c r="AS23" s="222"/>
    </row>
    <row r="24" spans="1:45" x14ac:dyDescent="0.35">
      <c r="A24" s="46" t="str">
        <f>IFERROR(
    IF(AND(B11="Solid"),B18,
        IF(AND(B11="Liquid"),B18*_xlfn.XLOOKUP(B10,'Paramètres conversion combustib'!$A$2:$A$51,'Paramètres conversion combustib'!$D$2:$D$51)*10^(-6),
            IF(AND(B11="Gaseous"),B18*_xlfn.XLOOKUP(B10,'Paramètres conversion combustib'!$A$2:$A$51,'Paramètres conversion combustib'!$E$2:$E$51)*10^(-3)*10^(-6),"")
        )
    ),
    ""
)</f>
        <v/>
      </c>
      <c r="B24" s="8"/>
      <c r="K24" s="46" t="str">
        <f>IFERROR(
    IF(AND(L11="Solid"),L18,
        IF(AND(L11="Liquid"),L18*_xlfn.XLOOKUP(L10,'Paramètres conversion combustib'!$A$2:$A$51,'Paramètres conversion combustib'!$D$2:$D$51)*10^(-6),
            IF(AND(L11="Gaseous"),L18*_xlfn.XLOOKUP(L10,'Paramètres conversion combustib'!$A$2:$A$51,'Paramètres conversion combustib'!$E$2:$E$51)*10^(-3)*10^(-6),"")
        )
    ),
    ""
)</f>
        <v/>
      </c>
      <c r="O24" s="46" t="str">
        <f>IFERROR(
    IF(AND(P11="Solid"),P18,
        IF(AND(P11="Liquid"),P18*_xlfn.XLOOKUP(P10,'Paramètres conversion combustib'!$A$2:$A$51,'Paramètres conversion combustib'!$D$2:$D$51)*10^(-6),
            IF(AND(P11="Gaseous"),P18*_xlfn.XLOOKUP(P10,'Paramètres conversion combustib'!$A$2:$A$51,'Paramètres conversion combustib'!$E$2:$E$51)*10^(-3)*10^(-6),"")
        )
    ),
    ""
)</f>
        <v/>
      </c>
      <c r="S24" s="46" t="str">
        <f>IFERROR(
    IF(AND(T11="Solid"),T18,
        IF(AND(T11="Liquid"),T18*_xlfn.XLOOKUP(T10,'Paramètres conversion combustib'!$A$2:$A$51,'Paramètres conversion combustib'!$D$2:$D$51)*10^(-6),
            IF(AND(T11="Gaseous"),T18*_xlfn.XLOOKUP(T10,'Paramètres conversion combustib'!$A$2:$A$51,'Paramètres conversion combustib'!$E$2:$E$51)*10^(-3)*10^(-6),"")
        )
    ),
    ""
)</f>
        <v/>
      </c>
      <c r="W24" s="46" t="str">
        <f>IFERROR(
    IF(AND(X11="Solid"),X18,
        IF(AND(X11="Liquid"),X18*_xlfn.XLOOKUP(X10,'Paramètres conversion combustib'!$A$2:$A$51,'Paramètres conversion combustib'!$D$2:$D$51)*10^(-6),
            IF(AND(X11="Gaseous"),X18*_xlfn.XLOOKUP(X10,'Paramètres conversion combustib'!$A$2:$A$51,'Paramètres conversion combustib'!$E$2:$E$51)*10^(-3)*10^(-6),"")
        )
    ),
    ""
)</f>
        <v/>
      </c>
      <c r="AA24" s="46" t="str">
        <f>IFERROR(
    IF(AND(AB11="Solid"),AB18,
        IF(AND(AB11="Liquid"),AB18*_xlfn.XLOOKUP(AB10,'Paramètres conversion combustib'!$A$2:$A$51,'Paramètres conversion combustib'!$D$2:$D$51)*10^(-6),
            IF(AND(AB11="Gaseous"),AB18*_xlfn.XLOOKUP(AB10,'Paramètres conversion combustib'!$A$2:$A$51,'Paramètres conversion combustib'!$E$2:$E$51)*10^(-3)*10^(-6),"")
        )
    ),
    ""
)</f>
        <v/>
      </c>
      <c r="AE24" s="46" t="str">
        <f>IFERROR(
    IF(AND(AF11="Solid"),AF18,
        IF(AND(AF11="Liquid"),AF18*_xlfn.XLOOKUP(AF10,'Paramètres conversion combustib'!$A$2:$A$51,'Paramètres conversion combustib'!$D$2:$D$51)*10^(-6),
            IF(AND(AF11="Gaseous"),AF18*_xlfn.XLOOKUP(AF10,'Paramètres conversion combustib'!$A$2:$A$51,'Paramètres conversion combustib'!$E$2:$E$51)*10^(-3)*10^(-6),"")
        )
    ),
    ""
)</f>
        <v/>
      </c>
      <c r="AI24" s="46" t="str">
        <f>IFERROR(
    IF(AND(AJ11="Solid"),AJ18,
        IF(AND(AJ11="Liquid"),AJ18*_xlfn.XLOOKUP(AJ10,'Paramètres conversion combustib'!$A$2:$A$51,'Paramètres conversion combustib'!$D$2:$D$51)*10^(-6),
            IF(AND(AJ11="Gaseous"),AJ18*_xlfn.XLOOKUP(AJ10,'Paramètres conversion combustib'!$A$2:$A$51,'Paramètres conversion combustib'!$E$2:$E$51)*10^(-3)*10^(-6),"")
        )
    ),
    ""
)</f>
        <v/>
      </c>
      <c r="AK24" s="8"/>
      <c r="AM24" s="46" t="str">
        <f>IFERROR(
    IF(AND(AN11="Solid"),AN18,
        IF(AND(AN11="Liquid"),AN18*_xlfn.XLOOKUP(AN10,'Paramètres conversion combustib'!$A$2:$A$51,'Paramètres conversion combustib'!$D$2:$D$51)*10^(-6),
            IF(AND(AN11="Gaseous"),AN18*_xlfn.XLOOKUP(AN10,'Paramètres conversion combustib'!$A$2:$A$51,'Paramètres conversion combustib'!$E$2:$E$51)*10^(-3)*10^(-6),"")
        )
    ),
    ""
)</f>
        <v/>
      </c>
      <c r="AN24" s="8"/>
      <c r="AO24" s="8"/>
      <c r="AQ24" s="46" t="str">
        <f>IFERROR(
    IF(AND(AR11="Solid"),AR18,
        IF(AND(AR11="Liquid"),AR18*_xlfn.XLOOKUP(AR10,'Paramètres conversion combustib'!$A$2:$A$51,'Paramètres conversion combustib'!$D$2:$D$51)*10^(-6),
            IF(AND(AR11="Gaseous"),AR18*_xlfn.XLOOKUP(AR10,'Paramètres conversion combustib'!$A$2:$A$51,'Paramètres conversion combustib'!$E$2:$E$51)*10^(-3)*10^(-6),"")
        )
    ),
    ""
)</f>
        <v/>
      </c>
    </row>
    <row r="25" spans="1:45" x14ac:dyDescent="0.35">
      <c r="A25" s="46">
        <f>IFERROR(VLOOKUP(B10, 'Paramètres conversion combustib'!$A:$C, 3, FALSE), "")</f>
        <v>44.3</v>
      </c>
      <c r="B25" s="8"/>
      <c r="K25" s="46" t="str">
        <f>IFERROR(VLOOKUP(L10, 'Paramètres conversion combustib'!$A:$C, 3, FALSE), "")</f>
        <v/>
      </c>
      <c r="O25" s="46" t="str">
        <f>IFERROR(VLOOKUP(P10, 'Paramètres conversion combustib'!$A:$C, 3, FALSE), "")</f>
        <v/>
      </c>
      <c r="S25" s="46" t="str">
        <f>IFERROR(VLOOKUP(T10, 'Paramètres conversion combustib'!$A:$C, 3, FALSE), "")</f>
        <v/>
      </c>
      <c r="W25" s="46" t="str">
        <f>IFERROR(VLOOKUP(X10, 'Paramètres conversion combustib'!$A:$C, 3, FALSE), "")</f>
        <v/>
      </c>
      <c r="AA25" s="46" t="str">
        <f>IFERROR(VLOOKUP(AB10, 'Paramètres conversion combustib'!$A:$C, 3, FALSE), "")</f>
        <v/>
      </c>
      <c r="AE25" s="46" t="str">
        <f>IFERROR(VLOOKUP(AF10, 'Paramètres conversion combustib'!$A:$C, 3, FALSE), "")</f>
        <v/>
      </c>
      <c r="AI25" s="46" t="str">
        <f>IFERROR(VLOOKUP(AJ10, 'Paramètres conversion combustib'!$A:$C, 3, FALSE), "")</f>
        <v/>
      </c>
      <c r="AK25" s="8"/>
      <c r="AM25" s="46" t="str">
        <f>IFERROR(VLOOKUP(AN10, 'Paramètres conversion combustib'!$A:$C, 3, FALSE), "")</f>
        <v/>
      </c>
      <c r="AN25" s="8"/>
      <c r="AO25" s="8"/>
      <c r="AQ25" s="46" t="str">
        <f>IFERROR(VLOOKUP(AR10, 'Paramètres conversion combustib'!$A:$C, 3, FALSE), "")</f>
        <v/>
      </c>
    </row>
    <row r="26" spans="1:45" x14ac:dyDescent="0.35">
      <c r="A26" s="177" t="str">
        <f>IFERROR(IF(OR(A24="", A25=""), "", A24*A25), "")</f>
        <v/>
      </c>
      <c r="B26" s="46" t="str">
        <f>IF(B24="m³ - cubic meters",B25*1000,
IF(B24="L - Liter",B25*1,
""))</f>
        <v/>
      </c>
      <c r="K26" s="177" t="str">
        <f>IFERROR(IF(OR(K24="", K25=""), "", K24*K25), "")</f>
        <v/>
      </c>
      <c r="L26" s="46" t="str">
        <f>IF(L24="m³ - cubic meters",L25*1000,
IF(L24="L - Liter",L25*1,
""))</f>
        <v/>
      </c>
      <c r="O26" s="177" t="str">
        <f>IFERROR(IF(OR(O24="", O25=""), "", O24*O25), "")</f>
        <v/>
      </c>
      <c r="P26" s="46" t="str">
        <f>IF(P24="m³ - cubic meters",P25*1000,
IF(P24="L - Liter",P25*1,
""))</f>
        <v/>
      </c>
      <c r="S26" s="177" t="str">
        <f>IFERROR(IF(OR(S24="", S25=""), "", S24*S25), "")</f>
        <v/>
      </c>
      <c r="T26" s="46" t="str">
        <f>IF(T24="m³ - cubic meters",T25*1000,
IF(T24="L - Liter",T25*1,
""))</f>
        <v/>
      </c>
      <c r="W26" s="177" t="str">
        <f>IFERROR(IF(OR(W24="", W25=""), "", W24*W25), "")</f>
        <v/>
      </c>
      <c r="X26" s="46" t="str">
        <f>IF(X24="m³ - cubic meters",X25*1000,
IF(X24="L - Liter",X25*1,
""))</f>
        <v/>
      </c>
      <c r="AA26" s="177" t="str">
        <f>IFERROR(IF(OR(AA24="", AA25=""), "", AA24*AA25), "")</f>
        <v/>
      </c>
      <c r="AB26" s="46" t="str">
        <f>IF(AB24="m³ - cubic meters",AB25*1000,
IF(AB24="L - Liter",AB25*1,
""))</f>
        <v/>
      </c>
      <c r="AE26" s="177" t="str">
        <f>IFERROR(IF(OR(AE24="", AE25=""), "", AE24*AE25), "")</f>
        <v/>
      </c>
      <c r="AF26" s="46" t="str">
        <f>IF(AF24="m³ - cubic meters",AF25*1000,
IF(AF24="L - Liter",AF25*1,
""))</f>
        <v/>
      </c>
      <c r="AI26" s="177" t="str">
        <f>IFERROR(IF(OR(AI24="", AI25=""), "", AI24*AI25), "")</f>
        <v/>
      </c>
      <c r="AJ26" s="46" t="str">
        <f>IF(AJ24="m³ - cubic meters",AJ25*1000,
IF(AJ24="L - Liter",AJ25*1,
""))</f>
        <v/>
      </c>
      <c r="AK26" s="8"/>
      <c r="AM26" s="177" t="str">
        <f>IFERROR(IF(OR(AM24="", AM25=""), "", AM24*AM25), "")</f>
        <v/>
      </c>
      <c r="AN26" s="46" t="str">
        <f>IF(AN24="m³ - cubic meters",AN25*1000,
IF(AN24="L - Liter",AN25*1,
""))</f>
        <v/>
      </c>
      <c r="AO26" s="8"/>
      <c r="AQ26" s="177" t="str">
        <f>IFERROR(IF(OR(AQ24="", AQ25=""), "", AQ24*AQ25), "")</f>
        <v/>
      </c>
      <c r="AR26" s="46" t="str">
        <f>IF(AR24="m³ - cubic meters",AR25*1000,
IF(AR24="L - Liter",AR25*1,
""))</f>
        <v/>
      </c>
    </row>
    <row r="27" spans="1:45" ht="15" thickBot="1" x14ac:dyDescent="0.4">
      <c r="A27" s="8"/>
      <c r="B27" s="8"/>
      <c r="AK27" s="8"/>
      <c r="AM27" s="8"/>
      <c r="AN27" s="8"/>
      <c r="AO27" s="8"/>
    </row>
    <row r="28" spans="1:45" ht="28.5" customHeight="1" thickBot="1" x14ac:dyDescent="0.4">
      <c r="A28" s="1098" t="s">
        <v>4239</v>
      </c>
      <c r="B28" s="1099"/>
      <c r="AK28" s="8"/>
      <c r="AM28" s="8"/>
      <c r="AN28" s="8"/>
      <c r="AO28" s="8"/>
    </row>
    <row r="29" spans="1:45" ht="15" thickBot="1" x14ac:dyDescent="0.4">
      <c r="A29" s="1100" t="str">
        <f>IFERROR(A32+B32, "-")</f>
        <v>-</v>
      </c>
      <c r="B29" s="1101"/>
      <c r="AK29" s="8"/>
      <c r="AM29" s="8"/>
      <c r="AN29" s="8"/>
      <c r="AO29" s="8"/>
    </row>
    <row r="30" spans="1:45" ht="15" thickBot="1" x14ac:dyDescent="0.4">
      <c r="A30" s="8"/>
      <c r="B30" s="8"/>
      <c r="K30" s="177" t="str">
        <f>IFERROR(K33, "")</f>
        <v/>
      </c>
      <c r="AK30" s="8"/>
      <c r="AM30" s="8"/>
      <c r="AN30" s="8"/>
      <c r="AO30" s="8"/>
    </row>
    <row r="31" spans="1:45" ht="15" thickBot="1" x14ac:dyDescent="0.4">
      <c r="A31" s="37" t="s">
        <v>4237</v>
      </c>
      <c r="B31" s="32" t="s">
        <v>4238</v>
      </c>
      <c r="K31" s="177" t="str">
        <f>IFERROR(
    IF(AND(L17&lt;&gt;"",L21="",L25=""),L18,
        IF(AND(L17="",L21&lt;&gt;"",L25=""),L22*_xlfn.XLOOKUP(L10,'Paramètres conversion combustib'!$A$2:$A$51,'Paramètres conversion combustib'!$D$2:$D$51)*10^(-6),
            IF(AND(L17="",L21="",L25&lt;&gt;""),L26*_xlfn.XLOOKUP(L10,'Paramètres conversion combustib'!$A$2:$A$51,'Paramètres conversion combustib'!$E$2:$E$51)*10^(-3)*10^(-6),"")
        )
    ),
    ""
)</f>
        <v/>
      </c>
      <c r="AK31" s="8"/>
      <c r="AM31" s="8"/>
      <c r="AN31" s="8"/>
      <c r="AO31" s="8"/>
    </row>
    <row r="32" spans="1:45" ht="15" thickBot="1" x14ac:dyDescent="0.4">
      <c r="A32" s="43" t="str">
        <f>IFERROR(
    IF(COUNTIF(A22:AQ22, "-")=10, "-",
        SUMIFS(A22, B12, "Renouvelable") +
        SUMIFS(K22, L12, "Renouvelable") +
        SUMIFS(O29, P12, "Renouvelable") +
        SUMIFS(S29, T12, "Renouvelable") +
        SUMIFS(W29, X12, "Renouvelable") +
        SUMIFS(AA29, AB12, "Renouvelable") +
        SUMIFS(AE29, AF12, "Renouvelable") +
        SUMIFS(AI29, AJ12, "Renouvelable") +
        SUMIFS(AM29, AN12, "Renouvelable") +
        SUMIFS(AQ29, AR12, "Renouvelable")
    ), "-")</f>
        <v>-</v>
      </c>
      <c r="B32" s="43" t="str">
        <f>IFERROR(
    IF(COUNTIF(A22:AQ22, "-")=10, "-",
        SUMIFS(A22, B12, "Non renouvelable") +
        SUMIFS(K22, L12, "Non renouvelable") +
        SUMIFS(O29, P12, "Non renouvelable") +
        SUMIFS(S29, T12, "Non renouvelable") +
        SUMIFS(W29, X12, "Non renouvelable") +
        SUMIFS(AA29, AB12, "Non renouvelable") +
        SUMIFS(AE29, AF12, "Non renouvelable") +
        SUMIFS(AI29, AJ12, "Non renouvelable") +
        SUMIFS(AM29, AN12, "Non renouvelable") +
        SUMIFS(AQ29, AR12, "Non renouvelable")
    ), "-")</f>
        <v>-</v>
      </c>
      <c r="K32" s="177" t="str">
        <f>IFERROR(VLOOKUP(L10, 'Paramètres conversion combustib'!$A:$C, 3, FALSE), "")</f>
        <v/>
      </c>
      <c r="AK32" s="8"/>
      <c r="AM32" s="8"/>
      <c r="AN32" s="8"/>
      <c r="AO32" s="8"/>
    </row>
    <row r="33" spans="1:41" x14ac:dyDescent="0.35">
      <c r="A33" s="177"/>
      <c r="B33" s="8"/>
      <c r="K33" s="177" t="str">
        <f>IFERROR(IF(OR(K31="", K32=""), "", K31*K32), "")</f>
        <v/>
      </c>
      <c r="AK33" s="8"/>
      <c r="AM33" s="8"/>
      <c r="AN33" s="8"/>
      <c r="AO33" s="8"/>
    </row>
    <row r="34" spans="1:41" x14ac:dyDescent="0.35">
      <c r="A34" s="8"/>
      <c r="B34" s="8"/>
      <c r="AK34" s="8"/>
      <c r="AM34" s="8"/>
      <c r="AN34" s="8"/>
      <c r="AO34" s="8"/>
    </row>
    <row r="35" spans="1:41" x14ac:dyDescent="0.35">
      <c r="A35" s="8"/>
      <c r="B35" s="8"/>
      <c r="AK35" s="8"/>
      <c r="AM35" s="8"/>
      <c r="AN35" s="8"/>
      <c r="AO35" s="8"/>
    </row>
    <row r="36" spans="1:41" x14ac:dyDescent="0.35">
      <c r="A36" s="20" t="s">
        <v>4236</v>
      </c>
      <c r="B36" s="8"/>
      <c r="AK36" s="8"/>
      <c r="AM36" s="8"/>
      <c r="AN36" s="8"/>
      <c r="AO36" s="8"/>
    </row>
    <row r="37" spans="1:41" ht="227.5" customHeight="1" x14ac:dyDescent="0.35">
      <c r="A37" s="1094" t="s">
        <v>4858</v>
      </c>
      <c r="B37" s="1094"/>
      <c r="AK37" s="8"/>
      <c r="AM37" s="8"/>
      <c r="AN37" s="8"/>
      <c r="AO37" s="8"/>
    </row>
    <row r="38" spans="1:41" x14ac:dyDescent="0.35">
      <c r="A38" s="8" t="s">
        <v>4681</v>
      </c>
      <c r="B38" s="8"/>
      <c r="AK38" s="8"/>
      <c r="AM38" s="8"/>
      <c r="AN38" s="8"/>
      <c r="AO38" s="8"/>
    </row>
    <row r="39" spans="1:41" x14ac:dyDescent="0.35">
      <c r="A39" s="392" t="s">
        <v>4839</v>
      </c>
      <c r="B39" s="8"/>
      <c r="AK39" s="8"/>
      <c r="AM39" s="8"/>
      <c r="AN39" s="8"/>
      <c r="AO39" s="8"/>
    </row>
    <row r="40" spans="1:41" x14ac:dyDescent="0.35">
      <c r="B40" s="8"/>
      <c r="AK40" s="8"/>
      <c r="AM40" s="8"/>
      <c r="AN40" s="8"/>
      <c r="AO40" s="8"/>
    </row>
    <row r="41" spans="1:41" x14ac:dyDescent="0.35">
      <c r="A41" s="8" t="s">
        <v>4680</v>
      </c>
      <c r="B41" s="8"/>
      <c r="AK41" s="8"/>
      <c r="AM41" s="8"/>
      <c r="AN41" s="8"/>
      <c r="AO41" s="8"/>
    </row>
    <row r="42" spans="1:41" x14ac:dyDescent="0.35">
      <c r="A42" s="392" t="s">
        <v>4840</v>
      </c>
      <c r="B42" s="8"/>
      <c r="AK42" s="8"/>
      <c r="AM42" s="8"/>
      <c r="AN42" s="8"/>
      <c r="AO42" s="8"/>
    </row>
    <row r="43" spans="1:41" x14ac:dyDescent="0.35">
      <c r="A43" s="392" t="s">
        <v>4839</v>
      </c>
      <c r="B43" s="8"/>
      <c r="AK43" s="8"/>
      <c r="AM43" s="8"/>
      <c r="AN43" s="8"/>
      <c r="AO43" s="8"/>
    </row>
    <row r="44" spans="1:41" x14ac:dyDescent="0.35">
      <c r="A44" s="8"/>
      <c r="B44" s="8"/>
      <c r="AK44" s="8"/>
      <c r="AM44" s="8"/>
      <c r="AN44" s="8"/>
      <c r="AO44" s="8"/>
    </row>
    <row r="45" spans="1:41" x14ac:dyDescent="0.35">
      <c r="A45" s="8" t="s">
        <v>4682</v>
      </c>
      <c r="B45" s="8"/>
      <c r="AK45" s="8"/>
      <c r="AM45" s="8"/>
      <c r="AN45" s="8"/>
      <c r="AO45" s="8"/>
    </row>
    <row r="46" spans="1:41" ht="16.5" x14ac:dyDescent="0.35">
      <c r="A46" s="392" t="s">
        <v>4841</v>
      </c>
      <c r="B46" s="8"/>
      <c r="AK46" s="8"/>
      <c r="AM46" s="8"/>
      <c r="AN46" s="8"/>
      <c r="AO46" s="8"/>
    </row>
    <row r="47" spans="1:41" x14ac:dyDescent="0.35">
      <c r="A47" s="392" t="s">
        <v>4839</v>
      </c>
      <c r="B47" s="8"/>
      <c r="AK47" s="8"/>
      <c r="AM47" s="8"/>
      <c r="AN47" s="8"/>
      <c r="AO47" s="8"/>
    </row>
    <row r="48" spans="1:41" x14ac:dyDescent="0.35">
      <c r="A48" s="8"/>
      <c r="B48" s="8"/>
      <c r="AK48" s="8"/>
      <c r="AM48" s="8"/>
      <c r="AN48" s="8"/>
      <c r="AO48" s="8"/>
    </row>
    <row r="49" s="8" customFormat="1" x14ac:dyDescent="0.35"/>
    <row r="50" s="8" customFormat="1" x14ac:dyDescent="0.35"/>
    <row r="51" s="8" customFormat="1" x14ac:dyDescent="0.35"/>
    <row r="52" s="8" customFormat="1" x14ac:dyDescent="0.35"/>
    <row r="53" s="8" customFormat="1" x14ac:dyDescent="0.35"/>
    <row r="54" s="8" customFormat="1" x14ac:dyDescent="0.35"/>
    <row r="55" s="8" customFormat="1" x14ac:dyDescent="0.35"/>
    <row r="56" s="8" customFormat="1" x14ac:dyDescent="0.35"/>
    <row r="57" s="8" customFormat="1" x14ac:dyDescent="0.35"/>
    <row r="58" s="8" customFormat="1" x14ac:dyDescent="0.35"/>
    <row r="59" s="8" customFormat="1" x14ac:dyDescent="0.35"/>
    <row r="60" s="8" customFormat="1" x14ac:dyDescent="0.35"/>
    <row r="61" s="8" customFormat="1" x14ac:dyDescent="0.35"/>
    <row r="62" s="8" customFormat="1" x14ac:dyDescent="0.35"/>
    <row r="63" s="8" customFormat="1" x14ac:dyDescent="0.35"/>
    <row r="64" s="8" customFormat="1" x14ac:dyDescent="0.35"/>
    <row r="65" s="8" customFormat="1" x14ac:dyDescent="0.35"/>
    <row r="66" s="8" customFormat="1" x14ac:dyDescent="0.35"/>
    <row r="67" s="8" customFormat="1" x14ac:dyDescent="0.35"/>
    <row r="68" s="8" customFormat="1" x14ac:dyDescent="0.35"/>
    <row r="69" s="8" customFormat="1" x14ac:dyDescent="0.35"/>
    <row r="70" s="8" customFormat="1" x14ac:dyDescent="0.35"/>
    <row r="71" s="8" customFormat="1" x14ac:dyDescent="0.35"/>
    <row r="72" s="8" customFormat="1" x14ac:dyDescent="0.35"/>
    <row r="73" s="8" customFormat="1" x14ac:dyDescent="0.35"/>
    <row r="74" s="8" customFormat="1" x14ac:dyDescent="0.35"/>
    <row r="75" s="8" customFormat="1" x14ac:dyDescent="0.35"/>
    <row r="76" s="8" customFormat="1" x14ac:dyDescent="0.35"/>
    <row r="77" s="8" customFormat="1" x14ac:dyDescent="0.35"/>
    <row r="78" s="8" customFormat="1" x14ac:dyDescent="0.35"/>
    <row r="79" s="8" customFormat="1" x14ac:dyDescent="0.35"/>
    <row r="80" s="8" customFormat="1" x14ac:dyDescent="0.35"/>
    <row r="81" s="8" customFormat="1" x14ac:dyDescent="0.35"/>
    <row r="82" s="8" customFormat="1" x14ac:dyDescent="0.35"/>
    <row r="83" s="8" customFormat="1" x14ac:dyDescent="0.35"/>
    <row r="84" s="8" customFormat="1" x14ac:dyDescent="0.35"/>
    <row r="85" s="8" customFormat="1" x14ac:dyDescent="0.35"/>
    <row r="86" s="8" customFormat="1" x14ac:dyDescent="0.35"/>
    <row r="87" s="8" customFormat="1" x14ac:dyDescent="0.35"/>
    <row r="88" s="8" customFormat="1" x14ac:dyDescent="0.35"/>
    <row r="89" s="8" customFormat="1" x14ac:dyDescent="0.35"/>
    <row r="90" s="8" customFormat="1" x14ac:dyDescent="0.35"/>
    <row r="91" s="8" customFormat="1" x14ac:dyDescent="0.35"/>
    <row r="92" s="8" customFormat="1" x14ac:dyDescent="0.35"/>
    <row r="93" s="8" customFormat="1" x14ac:dyDescent="0.35"/>
    <row r="94" s="8" customFormat="1" x14ac:dyDescent="0.35"/>
    <row r="95" s="8" customFormat="1" x14ac:dyDescent="0.35"/>
    <row r="96" s="8" customFormat="1" x14ac:dyDescent="0.35"/>
    <row r="97" s="8" customFormat="1" x14ac:dyDescent="0.35"/>
    <row r="98" s="8" customFormat="1" x14ac:dyDescent="0.35"/>
    <row r="99" s="8" customFormat="1" x14ac:dyDescent="0.35"/>
    <row r="100" s="8" customFormat="1" x14ac:dyDescent="0.35"/>
    <row r="101" s="8" customFormat="1" x14ac:dyDescent="0.35"/>
    <row r="102" s="8" customFormat="1" x14ac:dyDescent="0.35"/>
    <row r="103" s="8" customFormat="1" x14ac:dyDescent="0.35"/>
    <row r="104" s="8" customFormat="1" x14ac:dyDescent="0.35"/>
    <row r="105" s="8" customFormat="1" x14ac:dyDescent="0.35"/>
    <row r="106" s="8" customFormat="1" x14ac:dyDescent="0.35"/>
    <row r="107" s="8" customFormat="1" x14ac:dyDescent="0.35"/>
    <row r="108" s="8" customFormat="1" x14ac:dyDescent="0.35"/>
    <row r="109" s="8" customFormat="1" x14ac:dyDescent="0.35"/>
    <row r="110" s="8" customFormat="1" x14ac:dyDescent="0.35"/>
    <row r="111" s="8" customFormat="1" x14ac:dyDescent="0.35"/>
    <row r="112" s="8" customFormat="1" x14ac:dyDescent="0.35"/>
    <row r="113" s="8" customFormat="1" x14ac:dyDescent="0.35"/>
    <row r="114" s="8" customFormat="1" x14ac:dyDescent="0.35"/>
    <row r="115" s="8" customFormat="1" x14ac:dyDescent="0.35"/>
    <row r="116" s="8" customFormat="1" x14ac:dyDescent="0.35"/>
    <row r="117" s="8" customFormat="1" x14ac:dyDescent="0.35"/>
    <row r="118" s="8" customFormat="1" x14ac:dyDescent="0.35"/>
    <row r="119" s="8" customFormat="1" x14ac:dyDescent="0.35"/>
    <row r="120" s="8" customFormat="1" x14ac:dyDescent="0.35"/>
    <row r="121" s="8" customFormat="1" x14ac:dyDescent="0.35"/>
    <row r="122" s="8" customFormat="1" x14ac:dyDescent="0.35"/>
    <row r="123" s="8" customFormat="1" x14ac:dyDescent="0.35"/>
    <row r="124" s="8" customFormat="1" x14ac:dyDescent="0.35"/>
    <row r="125" s="8" customFormat="1" x14ac:dyDescent="0.35"/>
    <row r="126" s="8" customFormat="1" x14ac:dyDescent="0.35"/>
    <row r="127" s="8" customFormat="1" x14ac:dyDescent="0.35"/>
    <row r="128" s="8" customFormat="1" x14ac:dyDescent="0.35"/>
    <row r="129" s="8" customFormat="1" x14ac:dyDescent="0.35"/>
    <row r="130" s="8" customFormat="1" x14ac:dyDescent="0.35"/>
    <row r="131" s="8" customFormat="1" x14ac:dyDescent="0.35"/>
    <row r="132" s="8" customFormat="1" x14ac:dyDescent="0.35"/>
    <row r="133" s="8" customFormat="1" x14ac:dyDescent="0.35"/>
    <row r="134" s="8" customFormat="1" x14ac:dyDescent="0.35"/>
    <row r="135" s="8" customFormat="1" x14ac:dyDescent="0.35"/>
    <row r="136" s="8" customFormat="1" x14ac:dyDescent="0.35"/>
    <row r="137" s="8" customFormat="1" x14ac:dyDescent="0.35"/>
    <row r="138" s="8" customFormat="1" x14ac:dyDescent="0.35"/>
    <row r="139" s="8" customFormat="1" x14ac:dyDescent="0.35"/>
    <row r="140" s="8" customFormat="1" x14ac:dyDescent="0.35"/>
  </sheetData>
  <sheetProtection formatColumns="0" formatRows="0"/>
  <mergeCells count="7">
    <mergeCell ref="A37:B37"/>
    <mergeCell ref="B5:D5"/>
    <mergeCell ref="A3:J3"/>
    <mergeCell ref="A28:B28"/>
    <mergeCell ref="A29:B29"/>
    <mergeCell ref="B7:D7"/>
    <mergeCell ref="B6:D6"/>
  </mergeCells>
  <conditionalFormatting sqref="A5">
    <cfRule type="expression" dxfId="82" priority="111">
      <formula>OR($B$11="Solid", $B$11="Gas")</formula>
    </cfRule>
  </conditionalFormatting>
  <conditionalFormatting sqref="B11">
    <cfRule type="expression" dxfId="81" priority="109">
      <formula>$B$11="MISSING VALUE"</formula>
    </cfRule>
  </conditionalFormatting>
  <conditionalFormatting sqref="B12">
    <cfRule type="expression" dxfId="80" priority="110">
      <formula>$B$12="MISSING VALUE"</formula>
    </cfRule>
  </conditionalFormatting>
  <conditionalFormatting sqref="C16">
    <cfRule type="expression" dxfId="79" priority="84">
      <formula>C$16="Liquid fuel: please select one unit of measurement among m³ and L"</formula>
    </cfRule>
    <cfRule type="expression" dxfId="78" priority="83">
      <formula>C$16="Gaseous fuel: please select one unit of measurement among m³ and L"</formula>
    </cfRule>
    <cfRule type="expression" dxfId="77" priority="82">
      <formula>C$16="Liquid fuel: please change unit of measurement, select one among m³ and L"</formula>
    </cfRule>
    <cfRule type="expression" dxfId="76" priority="81">
      <formula>C$16="Gaseous fuel: please change unit of measurement, select one among m³ and L"</formula>
    </cfRule>
    <cfRule type="expression" dxfId="75" priority="80">
      <formula>C$16="Solid fuel: please select one unit of measurement among Gg, t, Kg and g"</formula>
    </cfRule>
    <cfRule type="expression" dxfId="74" priority="79">
      <formula>C$16="Solid fuel: please change unit of measurement, select one among Gg, t, Kg and g"</formula>
    </cfRule>
  </conditionalFormatting>
  <conditionalFormatting sqref="L11">
    <cfRule type="expression" dxfId="73" priority="85">
      <formula>$L$11="MISSING VALUE"</formula>
    </cfRule>
  </conditionalFormatting>
  <conditionalFormatting sqref="L12">
    <cfRule type="expression" dxfId="72" priority="104">
      <formula>$L$12="MISSING VALUE"</formula>
    </cfRule>
  </conditionalFormatting>
  <conditionalFormatting sqref="M16">
    <cfRule type="expression" dxfId="71" priority="50">
      <formula>M$16="Solid fuel: please select one unit of measurement among Gg, t, Kg and g"</formula>
    </cfRule>
    <cfRule type="expression" dxfId="70" priority="49">
      <formula>M$16="Solid fuel: please change unit of measurement, select one among Gg, t, Kg and g"</formula>
    </cfRule>
    <cfRule type="expression" dxfId="69" priority="51">
      <formula>M$16="Gaseous fuel: please change unit of measurement, select one among m³ and L"</formula>
    </cfRule>
    <cfRule type="expression" dxfId="68" priority="54">
      <formula>M$16="Liquid fuel: please select one unit of measurement among m³ and L"</formula>
    </cfRule>
    <cfRule type="expression" dxfId="67" priority="53">
      <formula>M$16="Gaseous fuel: please select one unit of measurement among m³ and L"</formula>
    </cfRule>
    <cfRule type="expression" dxfId="66" priority="52">
      <formula>M$16="Liquid fuel: please change unit of measurement, select one among m³ and L"</formula>
    </cfRule>
  </conditionalFormatting>
  <conditionalFormatting sqref="P11">
    <cfRule type="expression" dxfId="65" priority="103">
      <formula>$P$11="MISSING VALUE"</formula>
    </cfRule>
  </conditionalFormatting>
  <conditionalFormatting sqref="P12">
    <cfRule type="expression" dxfId="64" priority="94">
      <formula>$P$12="MISSING VALUE"</formula>
    </cfRule>
  </conditionalFormatting>
  <conditionalFormatting sqref="Q16">
    <cfRule type="expression" dxfId="63" priority="48">
      <formula>Q$16="Liquid fuel: please select one unit of measurement among m³ and L"</formula>
    </cfRule>
    <cfRule type="expression" dxfId="62" priority="47">
      <formula>Q$16="Gaseous fuel: please select one unit of measurement among m³ and L"</formula>
    </cfRule>
    <cfRule type="expression" dxfId="61" priority="46">
      <formula>Q$16="Liquid fuel: please change unit of measurement, select one among m³ and L"</formula>
    </cfRule>
    <cfRule type="expression" dxfId="60" priority="45">
      <formula>Q$16="Gaseous fuel: please change unit of measurement, select one among m³ and L"</formula>
    </cfRule>
    <cfRule type="expression" dxfId="59" priority="44">
      <formula>Q$16="Solid fuel: please select one unit of measurement among Gg, t, Kg and g"</formula>
    </cfRule>
    <cfRule type="expression" dxfId="58" priority="43">
      <formula>Q$16="Solid fuel: please change unit of measurement, select one among Gg, t, Kg and g"</formula>
    </cfRule>
  </conditionalFormatting>
  <conditionalFormatting sqref="T11">
    <cfRule type="expression" dxfId="57" priority="102">
      <formula>$T$11="MISSING VALUE"</formula>
    </cfRule>
  </conditionalFormatting>
  <conditionalFormatting sqref="T12">
    <cfRule type="expression" dxfId="56" priority="93">
      <formula>$T$12="MISSING VALUE"</formula>
    </cfRule>
  </conditionalFormatting>
  <conditionalFormatting sqref="U16">
    <cfRule type="expression" dxfId="55" priority="40">
      <formula>U$16="Liquid fuel: please change unit of measurement, select one among m³ and L"</formula>
    </cfRule>
    <cfRule type="expression" dxfId="54" priority="41">
      <formula>U$16="Gaseous fuel: please select one unit of measurement among m³ and L"</formula>
    </cfRule>
    <cfRule type="expression" dxfId="53" priority="42">
      <formula>U$16="Liquid fuel: please select one unit of measurement among m³ and L"</formula>
    </cfRule>
    <cfRule type="expression" dxfId="52" priority="37">
      <formula>U$16="Solid fuel: please change unit of measurement, select one among Gg, t, Kg and g"</formula>
    </cfRule>
    <cfRule type="expression" dxfId="51" priority="38">
      <formula>U$16="Solid fuel: please select one unit of measurement among Gg, t, Kg and g"</formula>
    </cfRule>
    <cfRule type="expression" dxfId="50" priority="39">
      <formula>U$16="Gaseous fuel: please change unit of measurement, select one among m³ and L"</formula>
    </cfRule>
  </conditionalFormatting>
  <conditionalFormatting sqref="X11">
    <cfRule type="expression" dxfId="49" priority="101">
      <formula>$X$11="MISSING VALUE"</formula>
    </cfRule>
  </conditionalFormatting>
  <conditionalFormatting sqref="X12">
    <cfRule type="expression" dxfId="48" priority="92">
      <formula>$X$12="MISSING VALUE"</formula>
    </cfRule>
  </conditionalFormatting>
  <conditionalFormatting sqref="Y16">
    <cfRule type="expression" dxfId="47" priority="33">
      <formula>Y$16="Gaseous fuel: please change unit of measurement, select one among m³ and L"</formula>
    </cfRule>
    <cfRule type="expression" dxfId="46" priority="36">
      <formula>Y$16="Liquid fuel: please select one unit of measurement among m³ and L"</formula>
    </cfRule>
    <cfRule type="expression" dxfId="45" priority="35">
      <formula>Y$16="Gaseous fuel: please select one unit of measurement among m³ and L"</formula>
    </cfRule>
    <cfRule type="expression" dxfId="44" priority="34">
      <formula>Y$16="Liquid fuel: please change unit of measurement, select one among m³ and L"</formula>
    </cfRule>
    <cfRule type="expression" dxfId="43" priority="32">
      <formula>Y$16="Solid fuel: please select one unit of measurement among Gg, t, Kg and g"</formula>
    </cfRule>
    <cfRule type="expression" dxfId="42" priority="31">
      <formula>Y$16="Solid fuel: please change unit of measurement, select one among Gg, t, Kg and g"</formula>
    </cfRule>
  </conditionalFormatting>
  <conditionalFormatting sqref="AB11">
    <cfRule type="expression" dxfId="41" priority="100">
      <formula>$AB$11="MISSING VALUE"</formula>
    </cfRule>
  </conditionalFormatting>
  <conditionalFormatting sqref="AB12">
    <cfRule type="expression" dxfId="40" priority="91">
      <formula>$AB12="MISSING VALUE"</formula>
    </cfRule>
  </conditionalFormatting>
  <conditionalFormatting sqref="AC16">
    <cfRule type="expression" dxfId="39" priority="30">
      <formula>AC$16="Liquid fuel: please select one unit of measurement among m³ and L"</formula>
    </cfRule>
    <cfRule type="expression" dxfId="38" priority="29">
      <formula>AC$16="Gaseous fuel: please select one unit of measurement among m³ and L"</formula>
    </cfRule>
    <cfRule type="expression" dxfId="37" priority="28">
      <formula>AC$16="Liquid fuel: please change unit of measurement, select one among m³ and L"</formula>
    </cfRule>
    <cfRule type="expression" dxfId="36" priority="27">
      <formula>AC$16="Gaseous fuel: please change unit of measurement, select one among m³ and L"</formula>
    </cfRule>
    <cfRule type="expression" dxfId="35" priority="26">
      <formula>AC$16="Solid fuel: please select one unit of measurement among Gg, t, Kg and g"</formula>
    </cfRule>
    <cfRule type="expression" dxfId="34" priority="25">
      <formula>AC$16="Solid fuel: please change unit of measurement, select one among Gg, t, Kg and g"</formula>
    </cfRule>
  </conditionalFormatting>
  <conditionalFormatting sqref="AF11">
    <cfRule type="expression" dxfId="33" priority="99">
      <formula>$AF$11="MISSING VALUE"</formula>
    </cfRule>
  </conditionalFormatting>
  <conditionalFormatting sqref="AF12">
    <cfRule type="expression" dxfId="32" priority="90">
      <formula>$AF$12="MISSING VALUE"</formula>
    </cfRule>
  </conditionalFormatting>
  <conditionalFormatting sqref="AG16">
    <cfRule type="expression" dxfId="31" priority="21">
      <formula>AG$16="Gaseous fuel: please change unit of measurement, select one among m³ and L"</formula>
    </cfRule>
    <cfRule type="expression" dxfId="30" priority="19">
      <formula>AG$16="Solid fuel: please change unit of measurement, select one among Gg, t, Kg and g"</formula>
    </cfRule>
    <cfRule type="expression" dxfId="29" priority="20">
      <formula>AG$16="Solid fuel: please select one unit of measurement among Gg, t, Kg and g"</formula>
    </cfRule>
    <cfRule type="expression" dxfId="28" priority="24">
      <formula>AG$16="Liquid fuel: please select one unit of measurement among m³ and L"</formula>
    </cfRule>
    <cfRule type="expression" dxfId="27" priority="23">
      <formula>AG$16="Gaseous fuel: please select one unit of measurement among m³ and L"</formula>
    </cfRule>
    <cfRule type="expression" dxfId="26" priority="22">
      <formula>AG$16="Liquid fuel: please change unit of measurement, select one among m³ and L"</formula>
    </cfRule>
  </conditionalFormatting>
  <conditionalFormatting sqref="AJ11">
    <cfRule type="expression" dxfId="25" priority="98">
      <formula>$AJ$11="MISSING VALUE"</formula>
    </cfRule>
  </conditionalFormatting>
  <conditionalFormatting sqref="AJ12">
    <cfRule type="expression" dxfId="24" priority="89">
      <formula>$AJ$12="MISSING VALUE"</formula>
    </cfRule>
  </conditionalFormatting>
  <conditionalFormatting sqref="AK16">
    <cfRule type="expression" dxfId="23" priority="18">
      <formula>AK$16="Liquid fuel: please select one unit of measurement among m³ and L"</formula>
    </cfRule>
    <cfRule type="expression" dxfId="22" priority="17">
      <formula>AK$16="Gaseous fuel: please select one unit of measurement among m³ and L"</formula>
    </cfRule>
    <cfRule type="expression" dxfId="21" priority="16">
      <formula>AK$16="Liquid fuel: please change unit of measurement, select one among m³ and L"</formula>
    </cfRule>
    <cfRule type="expression" dxfId="20" priority="15">
      <formula>AK$16="Gaseous fuel: please change unit of measurement, select one among m³ and L"</formula>
    </cfRule>
    <cfRule type="expression" dxfId="19" priority="14">
      <formula>AK$16="Solid fuel: please select one unit of measurement among Gg, t, Kg and g"</formula>
    </cfRule>
    <cfRule type="expression" dxfId="18" priority="13">
      <formula>AK$16="Solid fuel: please change unit of measurement, select one among Gg, t, Kg and g"</formula>
    </cfRule>
  </conditionalFormatting>
  <conditionalFormatting sqref="AN11">
    <cfRule type="expression" dxfId="17" priority="97">
      <formula>$AN$11="MISSING VALUE"</formula>
    </cfRule>
  </conditionalFormatting>
  <conditionalFormatting sqref="AN12">
    <cfRule type="expression" dxfId="16" priority="88">
      <formula>$AN$12="MISSING VALUE"</formula>
    </cfRule>
  </conditionalFormatting>
  <conditionalFormatting sqref="AO16">
    <cfRule type="expression" dxfId="15" priority="9">
      <formula>AO$16="Gaseous fuel: please change unit of measurement, select one among m³ and L"</formula>
    </cfRule>
    <cfRule type="expression" dxfId="14" priority="8">
      <formula>AO$16="Solid fuel: please select one unit of measurement among Gg, t, Kg and g"</formula>
    </cfRule>
    <cfRule type="expression" dxfId="13" priority="11">
      <formula>AO$16="Gaseous fuel: please select one unit of measurement among m³ and L"</formula>
    </cfRule>
    <cfRule type="expression" dxfId="12" priority="7">
      <formula>AO$16="Solid fuel: please change unit of measurement, select one among Gg, t, Kg and g"</formula>
    </cfRule>
    <cfRule type="expression" dxfId="11" priority="12">
      <formula>AO$16="Liquid fuel: please select one unit of measurement among m³ and L"</formula>
    </cfRule>
    <cfRule type="expression" dxfId="10" priority="10">
      <formula>AO$16="Liquid fuel: please change unit of measurement, select one among m³ and L"</formula>
    </cfRule>
  </conditionalFormatting>
  <conditionalFormatting sqref="AR11">
    <cfRule type="expression" dxfId="9" priority="96">
      <formula>$AR$11="MISSING VALUE"</formula>
    </cfRule>
  </conditionalFormatting>
  <conditionalFormatting sqref="AR12">
    <cfRule type="expression" dxfId="8" priority="86">
      <formula>$AR$12="MISSING VALUE"</formula>
    </cfRule>
  </conditionalFormatting>
  <conditionalFormatting sqref="AS16">
    <cfRule type="expression" dxfId="7" priority="1">
      <formula>AS$16="Solid fuel: please change unit of measurement, select one among Gg, t, Kg and g"</formula>
    </cfRule>
    <cfRule type="expression" dxfId="6" priority="6">
      <formula>AS$16="Liquid fuel: please select one unit of measurement among m³ and L"</formula>
    </cfRule>
    <cfRule type="expression" dxfId="5" priority="5">
      <formula>AS$16="Gaseous fuel: please select one unit of measurement among m³ and L"</formula>
    </cfRule>
    <cfRule type="expression" dxfId="4" priority="4">
      <formula>AS$16="Liquid fuel: please change unit of measurement, select one among m³ and L"</formula>
    </cfRule>
    <cfRule type="expression" dxfId="3" priority="3">
      <formula>AS$16="Gaseous fuel: please change unit of measurement, select one among m³ and L"</formula>
    </cfRule>
    <cfRule type="expression" dxfId="2" priority="2">
      <formula>AS$16="Solid fuel: please select one unit of measurement among Gg, t, Kg and g"</formula>
    </cfRule>
  </conditionalFormatting>
  <dataValidations count="15">
    <dataValidation type="list" allowBlank="1" showInputMessage="1" showErrorMessage="1" sqref="AR10 L10 P10 T10 X10 AB10 AF10 AJ10 AN10" xr:uid="{A17DED27-4EAE-45B5-B956-29512A0F7F88}">
      <formula1>enum_ListFuel</formula1>
    </dataValidation>
    <dataValidation type="custom" allowBlank="1" showInputMessage="1" showErrorMessage="1" sqref="K30" xr:uid="{24F78D8F-F8C3-4714-A04F-7D7BFB1DC81C}">
      <formula1>IFERROR(K33, "")</formula1>
    </dataValidation>
    <dataValidation type="custom" allowBlank="1" showInputMessage="1" showErrorMessage="1" sqref="K33" xr:uid="{AD6B99AB-0813-4A8D-A012-A2DA70342FEF}">
      <formula1>IFERROR(IF(OR(K31="", K32=""), "", K31*K32), "")</formula1>
    </dataValidation>
    <dataValidation allowBlank="1" showInputMessage="1" showErrorMessage="1" promptTitle="Error message" prompt="When it is displayed the error message it means that the NCV or the Density is lacking. Please provide the value for the lacking measure for the fuel of interest." sqref="AQ22 K22 O22 S22 W22 AA22 AE22 AI22 AM22" xr:uid="{3BFBC382-8D94-4C47-B1D8-D72151B9D8A5}"/>
    <dataValidation allowBlank="1" showInputMessage="1" showErrorMessage="1" promptTitle="Missing value (State of matter)" prompt="When the cell displays &quot;MISSING VALUE&quot;, please provide the State of matter for the respective fuel writing &quot;Solid&quot;, &quot;Liquid&quot; or &quot;Gaseous&quot; in the appropriate cell." sqref="AR11 T11 AN11 L11 P11 X11 AB11 AF11 AJ11" xr:uid="{763E0B2F-2A18-4691-AD9A-934253234B4C}"/>
    <dataValidation allowBlank="1" showInputMessage="1" showErrorMessage="1" promptTitle="Missing value (Renewability)" prompt="When the cell displays &quot;MISSING VALUE&quot;, please provide the Renewability for the respective fuel writing &quot;Renewable&quot; or &quot;Non-renewable&quot; in the appropriate cell." sqref="AR12 AN12 L12 P12 T12 X12 AB12 AF12 AJ12" xr:uid="{C27320BB-58E9-44B7-96CE-AD42CFD519CA}"/>
    <dataValidation type="list" allowBlank="1" showInputMessage="1" showErrorMessage="1" prompt="Veuillez sélectionner un combustible dans la liste déroulante" sqref="B10" xr:uid="{56028894-0786-4A49-90A8-2A6D0A7C93C1}">
      <formula1>enum_ListFuel</formula1>
    </dataValidation>
    <dataValidation type="list" allowBlank="1" showInputMessage="1" showErrorMessage="1" prompt="Please select one of the appropriate units of measurement from the dropdown list" sqref="AR16 L16 P16 T16 X16 AB16 AF16 AJ16 AN16" xr:uid="{5D5B490F-049F-499E-9BA5-C2916BC99CC2}">
      <formula1>enum_ListVolumeMass</formula1>
    </dataValidation>
    <dataValidation type="decimal" operator="equal" showInputMessage="1" showErrorMessage="1" prompt="Please insert only numbers" sqref="AR17 L17 P17 T17 X17 AB17 AF17 AJ17 AN17" xr:uid="{2C012787-644F-4DB7-9CE9-2851E7D035C6}">
      <formula1>L17</formula1>
    </dataValidation>
    <dataValidation type="custom" showInputMessage="1" showErrorMessage="1" sqref="A33" xr:uid="{77D95CA7-2A88-40A0-9A40-C05AFD57E69C}">
      <formula1>IFERROR(IF(OR(#REF!="", #REF!=""), "", #REF!*#REF!), "")</formula1>
    </dataValidation>
    <dataValidation allowBlank="1" showInputMessage="1" showErrorMessage="1" promptTitle="Valeur manquante (État)" prompt="Lorsque la cellule affiche &quot;VALEUR MANQUANTE&quot;, veuillez indiquer l'état du combustible en saisissant &quot;solide&quot;, &quot;liquide&quot; ou &quot;gazeux&quot; dans la cellule concernée." sqref="B11" xr:uid="{061F3444-8809-4DA3-970F-603C22ECE456}"/>
    <dataValidation allowBlank="1" showInputMessage="1" showErrorMessage="1" promptTitle="Valeur manquante (Renouvelable)" prompt="Lorsque la cellule affiche &quot;VALEUR MANQUANTE&quot;, veuillez indiquer le caractère renouvelable ou non du combustible en saisissant &quot;renouvelable&quot; ou &quot;non renouvelable&quot; dans la cellule." sqref="B12" xr:uid="{A86A1EFB-094C-48F1-B9B9-BFB9B9631FAA}"/>
    <dataValidation type="list" allowBlank="1" showInputMessage="1" showErrorMessage="1" prompt="Veuillez sélectionner l'unité de mesure appropriée dans la liste déroulante" sqref="B16" xr:uid="{3509301B-3A37-4A04-92BB-804A53C511D0}">
      <formula1>enum_ListVolumeMass</formula1>
    </dataValidation>
    <dataValidation type="decimal" operator="equal" showInputMessage="1" showErrorMessage="1" prompt="Chiffres uniquement" sqref="B17" xr:uid="{17CD2134-B437-42E0-9CD1-9D5275859467}">
      <formula1>B17</formula1>
    </dataValidation>
    <dataValidation allowBlank="1" showInputMessage="1" showErrorMessage="1" promptTitle="Alerte d'erreur" prompt="Lorsqu'une alerte d'erreur apparaît, cela signifie que le pouvoir calorifique inférieur ou la densité sont manquants. Veuillez saisir la valeur manquante correspondant au combustible." sqref="A22" xr:uid="{8F82B7D9-D46E-4B3F-87FE-0BBB4F3B06E5}"/>
  </dataValidations>
  <hyperlinks>
    <hyperlink ref="E16" location="template_further_notes" display="7. Further notes below" xr:uid="{5BA248E8-6D4E-4355-8574-344E2763FBC0}"/>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custom" allowBlank="1" showInputMessage="1" showErrorMessage="1" xr:uid="{0911D343-E2FA-43DA-8B92-03D12886BF32}">
          <x14:formula1>
            <xm:f>IFERROR(VLOOKUP(L10, 'Paramètres conversion combustib'!#REF!, 3, FALSE), "")</xm:f>
          </x14:formula1>
          <xm:sqref>K32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275E0-BDB4-46BC-B0FA-402804C0EE4F}">
  <dimension ref="A1:AY108"/>
  <sheetViews>
    <sheetView topLeftCell="C1" zoomScaleNormal="100" workbookViewId="0">
      <selection activeCell="G1" sqref="G1"/>
    </sheetView>
  </sheetViews>
  <sheetFormatPr baseColWidth="10" defaultColWidth="9" defaultRowHeight="14.5" x14ac:dyDescent="0.35"/>
  <cols>
    <col min="1" max="1" width="82.453125" customWidth="1"/>
    <col min="2" max="2" width="14.08984375" bestFit="1" customWidth="1"/>
    <col min="3" max="3" width="17" customWidth="1"/>
    <col min="4" max="4" width="20.453125" bestFit="1" customWidth="1"/>
    <col min="5" max="5" width="21.08984375" bestFit="1" customWidth="1"/>
    <col min="6" max="6" width="25.54296875" customWidth="1"/>
    <col min="7" max="7" width="16.26953125" customWidth="1"/>
    <col min="8" max="8" width="18.453125" customWidth="1"/>
    <col min="9" max="9" width="23" customWidth="1"/>
    <col min="10" max="10" width="21.08984375" customWidth="1"/>
    <col min="11" max="11" width="17.7265625" customWidth="1"/>
    <col min="12" max="12" width="27.36328125" customWidth="1"/>
    <col min="13" max="13" width="28.36328125" customWidth="1"/>
    <col min="14" max="14" width="28" customWidth="1"/>
    <col min="15" max="15" width="26.08984375" customWidth="1"/>
    <col min="16" max="16" width="31.81640625" customWidth="1"/>
    <col min="17" max="17" width="28.7265625" customWidth="1"/>
    <col min="18" max="18" width="27.36328125" customWidth="1"/>
    <col min="19" max="19" width="25" customWidth="1"/>
    <col min="20" max="20" width="23.26953125" customWidth="1"/>
    <col min="21" max="21" width="20.54296875" customWidth="1"/>
    <col min="22" max="22" width="26.36328125" customWidth="1"/>
    <col min="23" max="23" width="29.36328125" customWidth="1"/>
    <col min="24" max="24" width="29.453125" customWidth="1"/>
    <col min="25" max="25" width="29.81640625" customWidth="1"/>
    <col min="26" max="26" width="28.36328125" customWidth="1"/>
    <col min="27" max="27" width="30.7265625" customWidth="1"/>
    <col min="28" max="28" width="29.7265625" customWidth="1"/>
    <col min="29" max="29" width="32" customWidth="1"/>
    <col min="30" max="30" width="29.7265625" customWidth="1"/>
    <col min="31" max="31" width="30.7265625" customWidth="1"/>
    <col min="32" max="32" width="36.7265625" customWidth="1"/>
    <col min="33" max="33" width="39.81640625" customWidth="1"/>
    <col min="34" max="34" width="38.08984375" customWidth="1"/>
    <col min="35" max="35" width="38" customWidth="1"/>
    <col min="36" max="36" width="38.36328125" customWidth="1"/>
    <col min="37" max="37" width="39.54296875" customWidth="1"/>
    <col min="38" max="38" width="40.453125" customWidth="1"/>
    <col min="39" max="39" width="26.54296875" customWidth="1"/>
    <col min="40" max="40" width="30.7265625" customWidth="1"/>
    <col min="41" max="41" width="35.08984375" customWidth="1"/>
    <col min="42" max="42" width="35.7265625" customWidth="1"/>
    <col min="43" max="43" width="39.7265625" customWidth="1"/>
    <col min="44" max="44" width="38.453125" customWidth="1"/>
    <col min="45" max="45" width="37.54296875" customWidth="1"/>
    <col min="46" max="46" width="35" customWidth="1"/>
    <col min="47" max="47" width="39.26953125" customWidth="1"/>
    <col min="48" max="48" width="53" customWidth="1"/>
    <col min="49" max="49" width="28" customWidth="1"/>
    <col min="50" max="50" width="40.26953125" customWidth="1"/>
    <col min="51" max="51" width="7.08984375" customWidth="1"/>
    <col min="52" max="52" width="9.08984375" customWidth="1"/>
  </cols>
  <sheetData>
    <row r="1" spans="1:51" ht="15" thickBot="1" x14ac:dyDescent="0.4">
      <c r="A1" s="179" t="s">
        <v>4240</v>
      </c>
      <c r="B1" s="389" t="s">
        <v>4232</v>
      </c>
      <c r="C1" s="180" t="s">
        <v>4785</v>
      </c>
      <c r="D1" s="181" t="s">
        <v>4241</v>
      </c>
      <c r="E1" s="182" t="s">
        <v>4242</v>
      </c>
      <c r="F1" s="207" t="s">
        <v>4243</v>
      </c>
      <c r="G1" s="25" t="s">
        <v>4731</v>
      </c>
      <c r="H1" s="82" t="s">
        <v>3266</v>
      </c>
      <c r="I1" s="397" t="s">
        <v>4737</v>
      </c>
      <c r="J1" s="25" t="s">
        <v>4740</v>
      </c>
      <c r="K1" s="26" t="s">
        <v>4741</v>
      </c>
      <c r="L1" s="26" t="s">
        <v>4742</v>
      </c>
      <c r="M1" s="26" t="s">
        <v>4743</v>
      </c>
      <c r="N1" s="26" t="s">
        <v>4744</v>
      </c>
      <c r="O1" s="26" t="s">
        <v>4745</v>
      </c>
      <c r="P1" s="26" t="s">
        <v>3267</v>
      </c>
      <c r="Q1" s="26" t="s">
        <v>4746</v>
      </c>
      <c r="R1" s="26" t="s">
        <v>3268</v>
      </c>
      <c r="S1" s="26" t="s">
        <v>3269</v>
      </c>
      <c r="T1" s="12"/>
      <c r="U1" s="26" t="s">
        <v>4741</v>
      </c>
      <c r="V1" s="26" t="s">
        <v>3270</v>
      </c>
      <c r="W1" s="26" t="s">
        <v>4747</v>
      </c>
      <c r="X1" s="26" t="s">
        <v>3271</v>
      </c>
      <c r="Y1" s="26" t="s">
        <v>3272</v>
      </c>
      <c r="Z1" s="26" t="s">
        <v>3286</v>
      </c>
      <c r="AA1" s="26" t="s">
        <v>4748</v>
      </c>
      <c r="AB1" s="26" t="s">
        <v>3287</v>
      </c>
      <c r="AC1" s="26" t="s">
        <v>3288</v>
      </c>
      <c r="AD1" s="26" t="s">
        <v>3273</v>
      </c>
      <c r="AE1" s="26" t="s">
        <v>4750</v>
      </c>
      <c r="AF1" s="26" t="s">
        <v>3274</v>
      </c>
      <c r="AG1" s="26" t="s">
        <v>3275</v>
      </c>
      <c r="AH1" s="26" t="s">
        <v>3276</v>
      </c>
      <c r="AI1" s="26" t="s">
        <v>4749</v>
      </c>
      <c r="AJ1" s="26" t="s">
        <v>3277</v>
      </c>
      <c r="AK1" s="26" t="s">
        <v>3278</v>
      </c>
      <c r="AL1" s="6"/>
      <c r="AM1" s="190" t="s">
        <v>4741</v>
      </c>
      <c r="AN1" s="191" t="s">
        <v>3862</v>
      </c>
      <c r="AO1" s="191" t="s">
        <v>3868</v>
      </c>
      <c r="AP1" s="191" t="s">
        <v>3863</v>
      </c>
      <c r="AQ1" s="191" t="s">
        <v>4751</v>
      </c>
      <c r="AR1" s="191" t="s">
        <v>3864</v>
      </c>
      <c r="AS1" s="191" t="s">
        <v>3865</v>
      </c>
      <c r="AT1" s="191" t="s">
        <v>3866</v>
      </c>
      <c r="AU1" s="191" t="s">
        <v>3867</v>
      </c>
      <c r="AW1" s="398" t="s">
        <v>4232</v>
      </c>
      <c r="AX1" s="207" t="s">
        <v>4752</v>
      </c>
      <c r="AY1" s="312" t="s">
        <v>3894</v>
      </c>
    </row>
    <row r="2" spans="1:51" s="422" customFormat="1" ht="15" thickBot="1" x14ac:dyDescent="0.4">
      <c r="A2" s="408" t="s">
        <v>3279</v>
      </c>
      <c r="B2" s="409" t="s">
        <v>4244</v>
      </c>
      <c r="C2" s="410">
        <v>26.7</v>
      </c>
      <c r="D2" s="411"/>
      <c r="E2" s="412"/>
      <c r="F2" s="413" t="s">
        <v>4247</v>
      </c>
      <c r="G2" s="414" t="s">
        <v>4732</v>
      </c>
      <c r="H2" s="415" t="s">
        <v>4735</v>
      </c>
      <c r="I2" s="416" t="s">
        <v>4738</v>
      </c>
      <c r="J2" s="417" t="s">
        <v>4732</v>
      </c>
      <c r="K2" s="418" t="s">
        <v>4742</v>
      </c>
      <c r="L2" s="419">
        <v>1</v>
      </c>
      <c r="M2" s="420">
        <v>1E-3</v>
      </c>
      <c r="N2" s="420">
        <v>9.9999999999999995E-7</v>
      </c>
      <c r="O2" s="420">
        <v>1.0000000000000001E-9</v>
      </c>
      <c r="P2" s="420">
        <v>1000</v>
      </c>
      <c r="Q2" s="420">
        <v>1</v>
      </c>
      <c r="R2" s="420">
        <v>1E-3</v>
      </c>
      <c r="S2" s="421">
        <v>9.9999999999999995E-7</v>
      </c>
      <c r="U2" s="418" t="s">
        <v>3270</v>
      </c>
      <c r="V2" s="423">
        <v>1</v>
      </c>
      <c r="W2" s="424">
        <v>1000</v>
      </c>
      <c r="X2" s="424">
        <v>1000000</v>
      </c>
      <c r="Y2" s="424">
        <v>1000000000</v>
      </c>
      <c r="Z2" s="424">
        <v>1E-3</v>
      </c>
      <c r="AA2" s="424">
        <v>1</v>
      </c>
      <c r="AB2" s="424">
        <v>1000</v>
      </c>
      <c r="AC2" s="424">
        <v>1000000</v>
      </c>
      <c r="AD2" s="424">
        <v>9.9999999999999998E-13</v>
      </c>
      <c r="AE2" s="424">
        <v>1.0000000000000001E-9</v>
      </c>
      <c r="AF2" s="424">
        <v>9.9999999999999995E-7</v>
      </c>
      <c r="AG2" s="424">
        <v>1E-3</v>
      </c>
      <c r="AH2" s="425">
        <v>2.7799999999999998E-13</v>
      </c>
      <c r="AI2" s="425">
        <v>2.7800000000000002E-10</v>
      </c>
      <c r="AJ2" s="425">
        <v>2.7799999999999997E-7</v>
      </c>
      <c r="AK2" s="426">
        <v>2.7799999999999998E-4</v>
      </c>
      <c r="AM2" s="427" t="s">
        <v>3862</v>
      </c>
      <c r="AN2" s="428">
        <v>1</v>
      </c>
      <c r="AO2" s="428">
        <v>0.1</v>
      </c>
      <c r="AP2" s="429">
        <v>0.01</v>
      </c>
      <c r="AQ2" s="429">
        <v>1E-3</v>
      </c>
      <c r="AR2" s="429">
        <v>9.9999999999999995E-7</v>
      </c>
      <c r="AS2" s="429">
        <v>9.9999999999999995E-7</v>
      </c>
      <c r="AT2" s="429">
        <v>1.0000000000000001E-9</v>
      </c>
      <c r="AU2" s="430">
        <v>9.9999999999999998E-13</v>
      </c>
      <c r="AW2" s="416" t="s">
        <v>4244</v>
      </c>
      <c r="AX2" s="416" t="s">
        <v>4248</v>
      </c>
      <c r="AY2" s="431"/>
    </row>
    <row r="3" spans="1:51" s="422" customFormat="1" ht="15" thickBot="1" x14ac:dyDescent="0.4">
      <c r="A3" s="432" t="s">
        <v>4259</v>
      </c>
      <c r="B3" s="409" t="s">
        <v>4245</v>
      </c>
      <c r="C3" s="433">
        <v>44.3</v>
      </c>
      <c r="D3" s="434">
        <v>0.71</v>
      </c>
      <c r="E3" s="435"/>
      <c r="F3" s="436" t="s">
        <v>4247</v>
      </c>
      <c r="G3" s="437" t="s">
        <v>3280</v>
      </c>
      <c r="H3" s="438" t="s">
        <v>4736</v>
      </c>
      <c r="I3" s="417" t="s">
        <v>4739</v>
      </c>
      <c r="J3" s="417" t="s">
        <v>3280</v>
      </c>
      <c r="K3" s="439" t="s">
        <v>4743</v>
      </c>
      <c r="L3" s="440">
        <v>1000</v>
      </c>
      <c r="M3" s="441">
        <v>1</v>
      </c>
      <c r="N3" s="441">
        <v>1E-3</v>
      </c>
      <c r="O3" s="441">
        <v>9.9999999999999995E-7</v>
      </c>
      <c r="P3" s="441">
        <v>1000000</v>
      </c>
      <c r="Q3" s="441">
        <v>1000</v>
      </c>
      <c r="R3" s="441">
        <v>1</v>
      </c>
      <c r="S3" s="442">
        <v>1E-3</v>
      </c>
      <c r="U3" s="439" t="s">
        <v>4747</v>
      </c>
      <c r="V3" s="443">
        <v>1E-3</v>
      </c>
      <c r="W3" s="444">
        <v>1</v>
      </c>
      <c r="X3" s="444">
        <v>1000</v>
      </c>
      <c r="Y3" s="444">
        <v>1000000</v>
      </c>
      <c r="Z3" s="444">
        <v>9.9999999999999995E-7</v>
      </c>
      <c r="AA3" s="444">
        <v>1E-3</v>
      </c>
      <c r="AB3" s="444">
        <v>1</v>
      </c>
      <c r="AC3" s="444">
        <v>1000</v>
      </c>
      <c r="AD3" s="444">
        <v>1.0000000000000001E-15</v>
      </c>
      <c r="AE3" s="444">
        <v>9.9999999999999998E-13</v>
      </c>
      <c r="AF3" s="444">
        <v>1.0000000000000001E-9</v>
      </c>
      <c r="AG3" s="444">
        <v>9.9999999999999995E-7</v>
      </c>
      <c r="AH3" s="445">
        <v>2.7799999999999998E-16</v>
      </c>
      <c r="AI3" s="445">
        <v>2.7800000000000002E-10</v>
      </c>
      <c r="AJ3" s="445">
        <v>2.7799999999999997E-7</v>
      </c>
      <c r="AK3" s="446">
        <v>2.7799999999999998E-4</v>
      </c>
      <c r="AM3" s="427" t="s">
        <v>3868</v>
      </c>
      <c r="AN3" s="447">
        <v>10</v>
      </c>
      <c r="AO3" s="447">
        <v>1</v>
      </c>
      <c r="AP3" s="448">
        <v>0.1</v>
      </c>
      <c r="AQ3" s="448">
        <v>0.01</v>
      </c>
      <c r="AR3" s="448">
        <v>1.0000000000000001E-5</v>
      </c>
      <c r="AS3" s="448">
        <v>1.0000000000000001E-5</v>
      </c>
      <c r="AT3" s="448">
        <v>1E-8</v>
      </c>
      <c r="AU3" s="449">
        <v>9.9999999999999994E-12</v>
      </c>
      <c r="AW3" s="417" t="s">
        <v>4245</v>
      </c>
      <c r="AX3" s="417" t="s">
        <v>4247</v>
      </c>
      <c r="AY3" s="431"/>
    </row>
    <row r="4" spans="1:51" s="422" customFormat="1" ht="15" thickBot="1" x14ac:dyDescent="0.4">
      <c r="A4" s="432" t="s">
        <v>3281</v>
      </c>
      <c r="B4" s="409" t="s">
        <v>4245</v>
      </c>
      <c r="C4" s="433">
        <v>27</v>
      </c>
      <c r="D4" s="434">
        <v>0.85</v>
      </c>
      <c r="E4" s="435"/>
      <c r="F4" s="436" t="s">
        <v>4248</v>
      </c>
      <c r="G4" s="437" t="s">
        <v>4733</v>
      </c>
      <c r="J4" s="417" t="s">
        <v>4733</v>
      </c>
      <c r="K4" s="439" t="s">
        <v>4744</v>
      </c>
      <c r="L4" s="440">
        <v>1000000</v>
      </c>
      <c r="M4" s="441">
        <v>1000</v>
      </c>
      <c r="N4" s="441">
        <v>1</v>
      </c>
      <c r="O4" s="441">
        <v>1E-3</v>
      </c>
      <c r="P4" s="441">
        <v>1000000000</v>
      </c>
      <c r="Q4" s="441">
        <v>1000000</v>
      </c>
      <c r="R4" s="441">
        <v>1000</v>
      </c>
      <c r="S4" s="442">
        <v>1</v>
      </c>
      <c r="U4" s="439" t="s">
        <v>3271</v>
      </c>
      <c r="V4" s="443">
        <v>9.9999999999999995E-7</v>
      </c>
      <c r="W4" s="444">
        <v>1E-3</v>
      </c>
      <c r="X4" s="444">
        <v>1</v>
      </c>
      <c r="Y4" s="444">
        <v>1000</v>
      </c>
      <c r="Z4" s="444">
        <v>1.0000000000000001E-9</v>
      </c>
      <c r="AA4" s="444">
        <v>9.9999999999999995E-7</v>
      </c>
      <c r="AB4" s="444">
        <v>1</v>
      </c>
      <c r="AC4" s="444">
        <v>1000</v>
      </c>
      <c r="AD4" s="444">
        <v>1.0000000000000001E-18</v>
      </c>
      <c r="AE4" s="444">
        <v>1.0000000000000001E-15</v>
      </c>
      <c r="AF4" s="444">
        <v>9.9999999999999998E-13</v>
      </c>
      <c r="AG4" s="444">
        <v>1.0000000000000001E-9</v>
      </c>
      <c r="AH4" s="445">
        <v>2.7799999999999998E-19</v>
      </c>
      <c r="AI4" s="445">
        <v>2.7799999999999998E-13</v>
      </c>
      <c r="AJ4" s="445">
        <v>2.7800000000000002E-10</v>
      </c>
      <c r="AK4" s="446">
        <v>2.7799999999999997E-7</v>
      </c>
      <c r="AM4" s="427" t="s">
        <v>3863</v>
      </c>
      <c r="AN4" s="447">
        <v>100</v>
      </c>
      <c r="AO4" s="447">
        <v>10</v>
      </c>
      <c r="AP4" s="448">
        <v>1</v>
      </c>
      <c r="AQ4" s="448">
        <v>0.1</v>
      </c>
      <c r="AR4" s="448">
        <v>1E-4</v>
      </c>
      <c r="AS4" s="448">
        <v>1E-4</v>
      </c>
      <c r="AT4" s="448">
        <v>9.9999999999999995E-8</v>
      </c>
      <c r="AU4" s="449">
        <v>1E-10</v>
      </c>
      <c r="AW4" s="417" t="s">
        <v>4246</v>
      </c>
      <c r="AX4" s="417"/>
      <c r="AY4" s="431"/>
    </row>
    <row r="5" spans="1:51" s="422" customFormat="1" ht="15" thickBot="1" x14ac:dyDescent="0.4">
      <c r="A5" s="432" t="s">
        <v>4260</v>
      </c>
      <c r="B5" s="409" t="s">
        <v>4245</v>
      </c>
      <c r="C5" s="433">
        <v>27</v>
      </c>
      <c r="D5" s="434">
        <v>0.75</v>
      </c>
      <c r="E5" s="450"/>
      <c r="F5" s="436" t="s">
        <v>4248</v>
      </c>
      <c r="G5" s="437" t="s">
        <v>4734</v>
      </c>
      <c r="J5" s="417" t="s">
        <v>4734</v>
      </c>
      <c r="K5" s="439" t="s">
        <v>4745</v>
      </c>
      <c r="L5" s="440">
        <v>1000000000</v>
      </c>
      <c r="M5" s="441">
        <v>1000000</v>
      </c>
      <c r="N5" s="441">
        <v>1000</v>
      </c>
      <c r="O5" s="441">
        <v>1</v>
      </c>
      <c r="P5" s="441">
        <v>1000000000000</v>
      </c>
      <c r="Q5" s="441">
        <v>1000000000</v>
      </c>
      <c r="R5" s="441">
        <v>1000000</v>
      </c>
      <c r="S5" s="442">
        <v>1000</v>
      </c>
      <c r="U5" s="439" t="s">
        <v>3272</v>
      </c>
      <c r="V5" s="443">
        <v>1.0000000000000001E-9</v>
      </c>
      <c r="W5" s="444">
        <v>9.9999999999999995E-7</v>
      </c>
      <c r="X5" s="444">
        <v>1E-3</v>
      </c>
      <c r="Y5" s="444">
        <v>1</v>
      </c>
      <c r="Z5" s="444">
        <v>9.9999999999999998E-13</v>
      </c>
      <c r="AA5" s="444">
        <v>9.9999999999999995E-7</v>
      </c>
      <c r="AB5" s="444">
        <v>1E-3</v>
      </c>
      <c r="AC5" s="444">
        <v>1</v>
      </c>
      <c r="AD5" s="444">
        <v>9.9999999999999991E-22</v>
      </c>
      <c r="AE5" s="444">
        <v>1.0000000000000001E-18</v>
      </c>
      <c r="AF5" s="444">
        <v>1.0000000000000001E-15</v>
      </c>
      <c r="AG5" s="444">
        <v>9.9999999999999998E-13</v>
      </c>
      <c r="AH5" s="445">
        <v>2.7800000000000001E-22</v>
      </c>
      <c r="AI5" s="445">
        <v>2.7799999999999998E-16</v>
      </c>
      <c r="AJ5" s="445">
        <v>2.7799999999999998E-13</v>
      </c>
      <c r="AK5" s="446">
        <v>2.7800000000000002E-10</v>
      </c>
      <c r="AM5" s="427" t="s">
        <v>4751</v>
      </c>
      <c r="AN5" s="447">
        <v>1000</v>
      </c>
      <c r="AO5" s="447">
        <v>100</v>
      </c>
      <c r="AP5" s="448">
        <v>10</v>
      </c>
      <c r="AQ5" s="448">
        <v>1</v>
      </c>
      <c r="AR5" s="448">
        <v>1E-3</v>
      </c>
      <c r="AS5" s="448">
        <v>1E-3</v>
      </c>
      <c r="AT5" s="448">
        <v>9.9999999999999995E-7</v>
      </c>
      <c r="AU5" s="449">
        <v>1.0000000000000001E-9</v>
      </c>
      <c r="AW5" s="417"/>
      <c r="AX5" s="451"/>
      <c r="AY5" s="452" t="s">
        <v>3870</v>
      </c>
    </row>
    <row r="6" spans="1:51" s="422" customFormat="1" ht="15" thickBot="1" x14ac:dyDescent="0.4">
      <c r="A6" s="432" t="s">
        <v>4261</v>
      </c>
      <c r="B6" s="409" t="s">
        <v>4245</v>
      </c>
      <c r="C6" s="433">
        <v>40.200000000000003</v>
      </c>
      <c r="D6" s="434">
        <v>1.0349999999999999</v>
      </c>
      <c r="E6" s="435"/>
      <c r="F6" s="436" t="s">
        <v>4247</v>
      </c>
      <c r="J6" s="417" t="s">
        <v>4735</v>
      </c>
      <c r="K6" s="439" t="s">
        <v>3267</v>
      </c>
      <c r="L6" s="440">
        <v>1E-3</v>
      </c>
      <c r="M6" s="441">
        <v>9.9999999999999995E-7</v>
      </c>
      <c r="N6" s="441">
        <v>1.0000000000000001E-9</v>
      </c>
      <c r="O6" s="441">
        <v>9.9999999999999998E-13</v>
      </c>
      <c r="P6" s="441">
        <v>1</v>
      </c>
      <c r="Q6" s="441">
        <v>1E-3</v>
      </c>
      <c r="R6" s="441">
        <v>9.9999999999999995E-7</v>
      </c>
      <c r="S6" s="442">
        <v>1.0000000000000001E-9</v>
      </c>
      <c r="U6" s="439" t="s">
        <v>3286</v>
      </c>
      <c r="V6" s="443">
        <v>1000</v>
      </c>
      <c r="W6" s="444">
        <v>1000000</v>
      </c>
      <c r="X6" s="444">
        <v>1000000000</v>
      </c>
      <c r="Y6" s="444">
        <v>1000000000000</v>
      </c>
      <c r="Z6" s="444">
        <v>1</v>
      </c>
      <c r="AA6" s="444">
        <v>1000</v>
      </c>
      <c r="AB6" s="444">
        <v>1000000</v>
      </c>
      <c r="AC6" s="444">
        <v>1000000000</v>
      </c>
      <c r="AD6" s="444">
        <v>1.0000000000000001E-9</v>
      </c>
      <c r="AE6" s="444">
        <v>9.9999999999999995E-7</v>
      </c>
      <c r="AF6" s="444">
        <v>1E-3</v>
      </c>
      <c r="AG6" s="444">
        <v>1</v>
      </c>
      <c r="AH6" s="445">
        <v>2.7800000000000002E-10</v>
      </c>
      <c r="AI6" s="445">
        <v>2.7799999999999997E-7</v>
      </c>
      <c r="AJ6" s="445">
        <v>2.7799999999999998E-4</v>
      </c>
      <c r="AK6" s="446">
        <v>0.27800000000000002</v>
      </c>
      <c r="AM6" s="427" t="s">
        <v>3864</v>
      </c>
      <c r="AN6" s="447">
        <v>1000000</v>
      </c>
      <c r="AO6" s="447">
        <v>100000</v>
      </c>
      <c r="AP6" s="448">
        <v>10000</v>
      </c>
      <c r="AQ6" s="448">
        <v>1000</v>
      </c>
      <c r="AR6" s="448">
        <v>1</v>
      </c>
      <c r="AS6" s="448">
        <v>1</v>
      </c>
      <c r="AT6" s="448">
        <v>1E-3</v>
      </c>
      <c r="AU6" s="449">
        <v>9.9999999999999995E-7</v>
      </c>
      <c r="AY6" s="452" t="s">
        <v>3871</v>
      </c>
    </row>
    <row r="7" spans="1:51" s="422" customFormat="1" ht="15" thickBot="1" x14ac:dyDescent="0.4">
      <c r="A7" s="432" t="s">
        <v>4262</v>
      </c>
      <c r="B7" s="409" t="s">
        <v>4246</v>
      </c>
      <c r="C7" s="433">
        <v>2.4700000000000002</v>
      </c>
      <c r="D7" s="453"/>
      <c r="E7" s="454">
        <v>1.25</v>
      </c>
      <c r="F7" s="436" t="s">
        <v>4247</v>
      </c>
      <c r="J7" s="417" t="s">
        <v>4736</v>
      </c>
      <c r="K7" s="439" t="s">
        <v>4746</v>
      </c>
      <c r="L7" s="440">
        <v>1</v>
      </c>
      <c r="M7" s="441">
        <v>1E-3</v>
      </c>
      <c r="N7" s="441">
        <v>9.9999999999999995E-7</v>
      </c>
      <c r="O7" s="441">
        <v>1.0000000000000001E-9</v>
      </c>
      <c r="P7" s="441">
        <v>1000</v>
      </c>
      <c r="Q7" s="441">
        <v>1</v>
      </c>
      <c r="R7" s="441">
        <v>1E-3</v>
      </c>
      <c r="S7" s="442">
        <v>9.9999999999999995E-7</v>
      </c>
      <c r="U7" s="439" t="s">
        <v>4748</v>
      </c>
      <c r="V7" s="443">
        <v>1</v>
      </c>
      <c r="W7" s="444">
        <v>1000</v>
      </c>
      <c r="X7" s="444">
        <v>1000000</v>
      </c>
      <c r="Y7" s="444">
        <v>1000000000</v>
      </c>
      <c r="Z7" s="444">
        <v>1E-3</v>
      </c>
      <c r="AA7" s="444">
        <v>1</v>
      </c>
      <c r="AB7" s="444">
        <v>1000</v>
      </c>
      <c r="AC7" s="444">
        <v>1000000</v>
      </c>
      <c r="AD7" s="444">
        <v>9.9999999999999998E-13</v>
      </c>
      <c r="AE7" s="444">
        <v>1.0000000000000001E-9</v>
      </c>
      <c r="AF7" s="444">
        <v>9.9999999999999995E-7</v>
      </c>
      <c r="AG7" s="444">
        <v>1E-3</v>
      </c>
      <c r="AH7" s="445">
        <v>2.7799999999999998E-13</v>
      </c>
      <c r="AI7" s="445">
        <v>2.7800000000000002E-10</v>
      </c>
      <c r="AJ7" s="445">
        <v>2.7799999999999997E-7</v>
      </c>
      <c r="AK7" s="446">
        <v>2.7799999999999998E-4</v>
      </c>
      <c r="AM7" s="427" t="s">
        <v>3865</v>
      </c>
      <c r="AN7" s="447">
        <v>1000000</v>
      </c>
      <c r="AO7" s="447">
        <v>100000</v>
      </c>
      <c r="AP7" s="448">
        <v>10000</v>
      </c>
      <c r="AQ7" s="448">
        <v>1000</v>
      </c>
      <c r="AR7" s="448">
        <v>1</v>
      </c>
      <c r="AS7" s="448">
        <v>1</v>
      </c>
      <c r="AT7" s="448">
        <v>1E-3</v>
      </c>
      <c r="AU7" s="449">
        <v>9.9999999999999995E-7</v>
      </c>
      <c r="AY7" s="452" t="s">
        <v>3872</v>
      </c>
    </row>
    <row r="8" spans="1:51" s="422" customFormat="1" ht="15" thickBot="1" x14ac:dyDescent="0.4">
      <c r="A8" s="432" t="s">
        <v>4263</v>
      </c>
      <c r="B8" s="409" t="s">
        <v>4244</v>
      </c>
      <c r="C8" s="433">
        <v>20.7</v>
      </c>
      <c r="D8" s="453"/>
      <c r="E8" s="435"/>
      <c r="F8" s="436" t="s">
        <v>4247</v>
      </c>
      <c r="K8" s="439" t="s">
        <v>3268</v>
      </c>
      <c r="L8" s="440">
        <v>1000</v>
      </c>
      <c r="M8" s="441">
        <v>1</v>
      </c>
      <c r="N8" s="441">
        <v>1E-3</v>
      </c>
      <c r="O8" s="441">
        <v>1E-3</v>
      </c>
      <c r="P8" s="441">
        <v>1000000</v>
      </c>
      <c r="Q8" s="441">
        <v>1000</v>
      </c>
      <c r="R8" s="441">
        <v>1</v>
      </c>
      <c r="S8" s="442">
        <v>1E-3</v>
      </c>
      <c r="U8" s="439" t="s">
        <v>3287</v>
      </c>
      <c r="V8" s="443">
        <v>1E-3</v>
      </c>
      <c r="W8" s="444">
        <v>1</v>
      </c>
      <c r="X8" s="444">
        <v>1000</v>
      </c>
      <c r="Y8" s="444">
        <v>1000000</v>
      </c>
      <c r="Z8" s="444">
        <v>9.9999999999999995E-7</v>
      </c>
      <c r="AA8" s="444">
        <v>1E-3</v>
      </c>
      <c r="AB8" s="444">
        <v>1</v>
      </c>
      <c r="AC8" s="444">
        <v>1000</v>
      </c>
      <c r="AD8" s="444">
        <v>1.0000000000000001E-15</v>
      </c>
      <c r="AE8" s="444">
        <v>9.9999999999999998E-13</v>
      </c>
      <c r="AF8" s="444">
        <v>1.0000000000000001E-9</v>
      </c>
      <c r="AG8" s="444">
        <v>9.9999999999999995E-7</v>
      </c>
      <c r="AH8" s="445">
        <v>2.7799999999999998E-16</v>
      </c>
      <c r="AI8" s="445">
        <v>2.7800000000000002E-10</v>
      </c>
      <c r="AJ8" s="445">
        <v>2.7799999999999997E-7</v>
      </c>
      <c r="AK8" s="446">
        <v>2.7799999999999998E-4</v>
      </c>
      <c r="AM8" s="427" t="s">
        <v>3866</v>
      </c>
      <c r="AN8" s="447">
        <v>1000000000</v>
      </c>
      <c r="AO8" s="447">
        <v>100000000</v>
      </c>
      <c r="AP8" s="448">
        <v>10000000</v>
      </c>
      <c r="AQ8" s="448">
        <v>1000000</v>
      </c>
      <c r="AR8" s="448">
        <v>1000</v>
      </c>
      <c r="AS8" s="448">
        <v>1000</v>
      </c>
      <c r="AT8" s="448">
        <v>1</v>
      </c>
      <c r="AU8" s="449">
        <v>1E-3</v>
      </c>
      <c r="AY8" s="431"/>
    </row>
    <row r="9" spans="1:51" s="422" customFormat="1" ht="15" thickBot="1" x14ac:dyDescent="0.4">
      <c r="A9" s="432" t="s">
        <v>4264</v>
      </c>
      <c r="B9" s="409" t="s">
        <v>4246</v>
      </c>
      <c r="C9" s="434">
        <v>45.57</v>
      </c>
      <c r="D9" s="453"/>
      <c r="E9" s="454">
        <v>2.5</v>
      </c>
      <c r="F9" s="436" t="s">
        <v>4247</v>
      </c>
      <c r="K9" s="439" t="s">
        <v>3269</v>
      </c>
      <c r="L9" s="455">
        <v>1000000</v>
      </c>
      <c r="M9" s="456">
        <v>1000</v>
      </c>
      <c r="N9" s="456">
        <v>1</v>
      </c>
      <c r="O9" s="456">
        <v>1E-3</v>
      </c>
      <c r="P9" s="456">
        <v>1000000000</v>
      </c>
      <c r="Q9" s="456">
        <v>1000000</v>
      </c>
      <c r="R9" s="456">
        <v>1000</v>
      </c>
      <c r="S9" s="457">
        <v>1</v>
      </c>
      <c r="U9" s="439" t="s">
        <v>3288</v>
      </c>
      <c r="V9" s="443">
        <v>9.9999999999999995E-7</v>
      </c>
      <c r="W9" s="444">
        <v>1E-3</v>
      </c>
      <c r="X9" s="444">
        <v>1</v>
      </c>
      <c r="Y9" s="444">
        <v>1000</v>
      </c>
      <c r="Z9" s="444">
        <v>1.0000000000000001E-9</v>
      </c>
      <c r="AA9" s="444">
        <v>9.9999999999999995E-7</v>
      </c>
      <c r="AB9" s="444">
        <v>1</v>
      </c>
      <c r="AC9" s="444">
        <v>1000</v>
      </c>
      <c r="AD9" s="444">
        <v>1.0000000000000001E-18</v>
      </c>
      <c r="AE9" s="444">
        <v>1.0000000000000001E-15</v>
      </c>
      <c r="AF9" s="444">
        <v>9.9999999999999998E-13</v>
      </c>
      <c r="AG9" s="444">
        <v>1.0000000000000001E-9</v>
      </c>
      <c r="AH9" s="445">
        <v>2.7799999999999998E-19</v>
      </c>
      <c r="AI9" s="445">
        <v>2.7799999999999998E-13</v>
      </c>
      <c r="AJ9" s="445">
        <v>2.7800000000000002E-10</v>
      </c>
      <c r="AK9" s="446">
        <v>2.7799999999999997E-7</v>
      </c>
      <c r="AM9" s="427" t="s">
        <v>3867</v>
      </c>
      <c r="AN9" s="458">
        <v>1000000000000</v>
      </c>
      <c r="AO9" s="458">
        <v>100000000000</v>
      </c>
      <c r="AP9" s="459">
        <v>10000000000</v>
      </c>
      <c r="AQ9" s="459">
        <v>1000000000</v>
      </c>
      <c r="AR9" s="459">
        <v>1000000</v>
      </c>
      <c r="AS9" s="459">
        <v>1000000</v>
      </c>
      <c r="AT9" s="459">
        <v>1000</v>
      </c>
      <c r="AU9" s="460">
        <v>1</v>
      </c>
      <c r="AY9" s="452" t="s">
        <v>3873</v>
      </c>
    </row>
    <row r="10" spans="1:51" s="422" customFormat="1" ht="15" thickBot="1" x14ac:dyDescent="0.4">
      <c r="A10" s="432" t="s">
        <v>4265</v>
      </c>
      <c r="B10" s="409" t="s">
        <v>4246</v>
      </c>
      <c r="C10" s="433">
        <v>28.2</v>
      </c>
      <c r="D10" s="453"/>
      <c r="E10" s="435"/>
      <c r="F10" s="436" t="s">
        <v>4247</v>
      </c>
      <c r="U10" s="439" t="s">
        <v>3274</v>
      </c>
      <c r="V10" s="443">
        <v>1000000</v>
      </c>
      <c r="W10" s="444">
        <v>1000000000</v>
      </c>
      <c r="X10" s="444">
        <v>1000000000000</v>
      </c>
      <c r="Y10" s="444">
        <v>1000000000000000</v>
      </c>
      <c r="Z10" s="444">
        <v>1000</v>
      </c>
      <c r="AA10" s="444">
        <v>1000000</v>
      </c>
      <c r="AB10" s="444">
        <v>1000000000</v>
      </c>
      <c r="AC10" s="444">
        <v>1000000000000</v>
      </c>
      <c r="AD10" s="444">
        <v>9.9999999999999995E-7</v>
      </c>
      <c r="AE10" s="444">
        <v>1E-3</v>
      </c>
      <c r="AF10" s="444">
        <v>1</v>
      </c>
      <c r="AG10" s="444">
        <v>1000</v>
      </c>
      <c r="AH10" s="445">
        <v>2.7780000000000001E-7</v>
      </c>
      <c r="AI10" s="445">
        <v>2.777778E-4</v>
      </c>
      <c r="AJ10" s="445">
        <v>0.27777777780000001</v>
      </c>
      <c r="AK10" s="446">
        <v>277.77777780000002</v>
      </c>
      <c r="AY10" s="431"/>
    </row>
    <row r="11" spans="1:51" s="422" customFormat="1" ht="15" thickBot="1" x14ac:dyDescent="0.4">
      <c r="A11" s="432" t="s">
        <v>4266</v>
      </c>
      <c r="B11" s="409" t="s">
        <v>4246</v>
      </c>
      <c r="C11" s="433">
        <v>38.700000000000003</v>
      </c>
      <c r="D11" s="453"/>
      <c r="E11" s="454">
        <v>0.47499999999999998</v>
      </c>
      <c r="F11" s="436" t="s">
        <v>4247</v>
      </c>
      <c r="U11" s="439" t="s">
        <v>3275</v>
      </c>
      <c r="V11" s="443">
        <v>1000</v>
      </c>
      <c r="W11" s="444">
        <v>1000000</v>
      </c>
      <c r="X11" s="444">
        <v>1000000000</v>
      </c>
      <c r="Y11" s="444">
        <v>1000000000000</v>
      </c>
      <c r="Z11" s="444">
        <v>1</v>
      </c>
      <c r="AA11" s="444">
        <v>1000</v>
      </c>
      <c r="AB11" s="444">
        <v>1000000</v>
      </c>
      <c r="AC11" s="444">
        <v>1000000000</v>
      </c>
      <c r="AD11" s="444">
        <v>1.0000000000000001E-9</v>
      </c>
      <c r="AE11" s="444">
        <v>9.9999999999999995E-7</v>
      </c>
      <c r="AF11" s="444">
        <v>1E-3</v>
      </c>
      <c r="AG11" s="444">
        <v>1</v>
      </c>
      <c r="AH11" s="445">
        <v>2.7800000000000002E-10</v>
      </c>
      <c r="AI11" s="445">
        <v>2.7780000000000001E-7</v>
      </c>
      <c r="AJ11" s="445">
        <v>2.777778E-4</v>
      </c>
      <c r="AK11" s="446">
        <v>0.27777777780000001</v>
      </c>
      <c r="AY11" s="452" t="s">
        <v>3874</v>
      </c>
    </row>
    <row r="12" spans="1:51" s="422" customFormat="1" ht="15" thickBot="1" x14ac:dyDescent="0.4">
      <c r="A12" s="432" t="s">
        <v>4267</v>
      </c>
      <c r="B12" s="409" t="s">
        <v>4244</v>
      </c>
      <c r="C12" s="433">
        <v>28.2</v>
      </c>
      <c r="D12" s="453"/>
      <c r="E12" s="435"/>
      <c r="F12" s="436" t="s">
        <v>4247</v>
      </c>
      <c r="U12" s="461" t="s">
        <v>3276</v>
      </c>
      <c r="V12" s="462">
        <v>3600000000000</v>
      </c>
      <c r="W12" s="445">
        <v>3600000000000000</v>
      </c>
      <c r="X12" s="445">
        <v>3.6E+18</v>
      </c>
      <c r="Y12" s="445">
        <v>3.6E+21</v>
      </c>
      <c r="Z12" s="445">
        <v>3600000000</v>
      </c>
      <c r="AA12" s="445">
        <v>3600000000000</v>
      </c>
      <c r="AB12" s="445">
        <v>3600000000000000</v>
      </c>
      <c r="AC12" s="445">
        <v>3.6E+18</v>
      </c>
      <c r="AD12" s="445">
        <v>3.6</v>
      </c>
      <c r="AE12" s="445">
        <v>3600</v>
      </c>
      <c r="AF12" s="445">
        <v>3600000</v>
      </c>
      <c r="AG12" s="445">
        <v>3600000000</v>
      </c>
      <c r="AH12" s="445">
        <v>1</v>
      </c>
      <c r="AI12" s="445">
        <v>1000</v>
      </c>
      <c r="AJ12" s="445">
        <v>1000000</v>
      </c>
      <c r="AK12" s="446">
        <v>1000000000</v>
      </c>
      <c r="AY12" s="431"/>
    </row>
    <row r="13" spans="1:51" s="422" customFormat="1" ht="15" thickBot="1" x14ac:dyDescent="0.4">
      <c r="A13" s="432" t="s">
        <v>4268</v>
      </c>
      <c r="B13" s="409" t="s">
        <v>4245</v>
      </c>
      <c r="C13" s="433">
        <v>42.3</v>
      </c>
      <c r="D13" s="434">
        <v>0.8</v>
      </c>
      <c r="E13" s="435"/>
      <c r="F13" s="436" t="s">
        <v>4247</v>
      </c>
      <c r="U13" s="461" t="s">
        <v>4749</v>
      </c>
      <c r="V13" s="462">
        <v>3600000000</v>
      </c>
      <c r="W13" s="445">
        <v>3600000000000</v>
      </c>
      <c r="X13" s="445">
        <v>3600000000000000</v>
      </c>
      <c r="Y13" s="445">
        <v>3.6E+18</v>
      </c>
      <c r="Z13" s="445">
        <v>3600000</v>
      </c>
      <c r="AA13" s="445">
        <v>3600000000</v>
      </c>
      <c r="AB13" s="445">
        <v>3600000000000</v>
      </c>
      <c r="AC13" s="445">
        <v>3600000000000000</v>
      </c>
      <c r="AD13" s="445">
        <v>3.5999999999999999E-3</v>
      </c>
      <c r="AE13" s="445">
        <v>3.6</v>
      </c>
      <c r="AF13" s="445">
        <v>3600</v>
      </c>
      <c r="AG13" s="445">
        <v>3600000</v>
      </c>
      <c r="AH13" s="445">
        <v>1E-3</v>
      </c>
      <c r="AI13" s="445">
        <v>1</v>
      </c>
      <c r="AJ13" s="445">
        <v>1000</v>
      </c>
      <c r="AK13" s="446">
        <v>1000000</v>
      </c>
      <c r="AY13" s="431"/>
    </row>
    <row r="14" spans="1:51" s="422" customFormat="1" x14ac:dyDescent="0.35">
      <c r="A14" s="432" t="s">
        <v>4269</v>
      </c>
      <c r="B14" s="409" t="s">
        <v>4246</v>
      </c>
      <c r="C14" s="433">
        <v>46.4</v>
      </c>
      <c r="D14" s="434"/>
      <c r="E14" s="454">
        <v>1.3</v>
      </c>
      <c r="F14" s="436" t="s">
        <v>4247</v>
      </c>
      <c r="AY14" s="431"/>
    </row>
    <row r="15" spans="1:51" s="422" customFormat="1" x14ac:dyDescent="0.35">
      <c r="A15" s="432" t="s">
        <v>4270</v>
      </c>
      <c r="B15" s="409" t="s">
        <v>4246</v>
      </c>
      <c r="C15" s="433">
        <v>28.2</v>
      </c>
      <c r="D15" s="434"/>
      <c r="E15" s="454">
        <v>0.54</v>
      </c>
      <c r="F15" s="436" t="s">
        <v>4247</v>
      </c>
      <c r="AY15" s="452" t="s">
        <v>3875</v>
      </c>
    </row>
    <row r="16" spans="1:51" s="422" customFormat="1" x14ac:dyDescent="0.35">
      <c r="A16" s="432" t="s">
        <v>4271</v>
      </c>
      <c r="B16" s="409" t="s">
        <v>4245</v>
      </c>
      <c r="C16" s="433">
        <v>43</v>
      </c>
      <c r="D16" s="463">
        <v>0.84</v>
      </c>
      <c r="E16" s="464"/>
      <c r="F16" s="436" t="s">
        <v>4247</v>
      </c>
      <c r="AY16" s="431"/>
    </row>
    <row r="17" spans="1:51" s="422" customFormat="1" x14ac:dyDescent="0.35">
      <c r="A17" s="432" t="s">
        <v>4272</v>
      </c>
      <c r="B17" s="409" t="s">
        <v>4245</v>
      </c>
      <c r="C17" s="433">
        <v>44.3</v>
      </c>
      <c r="D17" s="434">
        <v>0.81</v>
      </c>
      <c r="E17" s="435"/>
      <c r="F17" s="436" t="s">
        <v>4247</v>
      </c>
      <c r="AY17" s="452" t="s">
        <v>3876</v>
      </c>
    </row>
    <row r="18" spans="1:51" s="422" customFormat="1" x14ac:dyDescent="0.35">
      <c r="A18" s="432" t="s">
        <v>4273</v>
      </c>
      <c r="B18" s="409" t="s">
        <v>4245</v>
      </c>
      <c r="C18" s="433">
        <v>44.1</v>
      </c>
      <c r="D18" s="434">
        <v>0.79</v>
      </c>
      <c r="E18" s="435"/>
      <c r="F18" s="436" t="s">
        <v>4247</v>
      </c>
      <c r="AY18" s="431"/>
    </row>
    <row r="19" spans="1:51" s="422" customFormat="1" x14ac:dyDescent="0.35">
      <c r="A19" s="432" t="s">
        <v>4842</v>
      </c>
      <c r="B19" s="409" t="s">
        <v>4245</v>
      </c>
      <c r="C19" s="433">
        <v>43.8</v>
      </c>
      <c r="D19" s="434">
        <v>0.8</v>
      </c>
      <c r="E19" s="435"/>
      <c r="F19" s="436" t="s">
        <v>4247</v>
      </c>
      <c r="AY19" s="431"/>
    </row>
    <row r="20" spans="1:51" s="422" customFormat="1" x14ac:dyDescent="0.35">
      <c r="A20" s="432" t="s">
        <v>4274</v>
      </c>
      <c r="B20" s="409" t="s">
        <v>4246</v>
      </c>
      <c r="C20" s="433">
        <v>50.4</v>
      </c>
      <c r="D20" s="453"/>
      <c r="E20" s="454">
        <v>0.9</v>
      </c>
      <c r="F20" s="436" t="s">
        <v>4248</v>
      </c>
      <c r="AY20" s="431"/>
    </row>
    <row r="21" spans="1:51" s="422" customFormat="1" x14ac:dyDescent="0.35">
      <c r="A21" s="432" t="s">
        <v>3282</v>
      </c>
      <c r="B21" s="409" t="s">
        <v>4244</v>
      </c>
      <c r="C21" s="433">
        <v>11.9</v>
      </c>
      <c r="D21" s="453"/>
      <c r="E21" s="435"/>
      <c r="F21" s="436" t="s">
        <v>4247</v>
      </c>
      <c r="AY21" s="431"/>
    </row>
    <row r="22" spans="1:51" s="422" customFormat="1" x14ac:dyDescent="0.35">
      <c r="A22" s="432" t="s">
        <v>4291</v>
      </c>
      <c r="B22" s="409" t="s">
        <v>4245</v>
      </c>
      <c r="C22" s="433">
        <v>47.3</v>
      </c>
      <c r="D22" s="434">
        <v>0.54</v>
      </c>
      <c r="E22" s="435"/>
      <c r="F22" s="436" t="s">
        <v>4247</v>
      </c>
      <c r="AY22" s="431"/>
    </row>
    <row r="23" spans="1:51" s="422" customFormat="1" x14ac:dyDescent="0.35">
      <c r="A23" s="432" t="s">
        <v>4275</v>
      </c>
      <c r="B23" s="409" t="s">
        <v>4245</v>
      </c>
      <c r="C23" s="433">
        <v>40.200000000000003</v>
      </c>
      <c r="D23" s="434">
        <v>1</v>
      </c>
      <c r="E23" s="435"/>
      <c r="F23" s="436" t="s">
        <v>4247</v>
      </c>
      <c r="AY23" s="431"/>
    </row>
    <row r="24" spans="1:51" s="422" customFormat="1" x14ac:dyDescent="0.35">
      <c r="A24" s="432" t="s">
        <v>4276</v>
      </c>
      <c r="B24" s="409" t="s">
        <v>4246</v>
      </c>
      <c r="C24" s="434">
        <v>50</v>
      </c>
      <c r="D24" s="453"/>
      <c r="E24" s="454">
        <v>0.67</v>
      </c>
      <c r="F24" s="436" t="s">
        <v>4247</v>
      </c>
      <c r="AY24" s="452" t="s">
        <v>3877</v>
      </c>
    </row>
    <row r="25" spans="1:51" s="422" customFormat="1" x14ac:dyDescent="0.35">
      <c r="A25" s="432" t="s">
        <v>4277</v>
      </c>
      <c r="B25" s="409" t="s">
        <v>4245</v>
      </c>
      <c r="C25" s="433">
        <v>44.3</v>
      </c>
      <c r="D25" s="434">
        <v>0.74</v>
      </c>
      <c r="E25" s="435"/>
      <c r="F25" s="436" t="s">
        <v>4247</v>
      </c>
      <c r="AY25" s="431"/>
    </row>
    <row r="26" spans="1:51" s="422" customFormat="1" x14ac:dyDescent="0.35">
      <c r="A26" s="432" t="s">
        <v>4278</v>
      </c>
      <c r="B26" s="409" t="s">
        <v>4244</v>
      </c>
      <c r="C26" s="433">
        <v>11.6</v>
      </c>
      <c r="D26" s="453"/>
      <c r="E26" s="435"/>
      <c r="F26" s="436" t="s">
        <v>4248</v>
      </c>
      <c r="AY26" s="431"/>
    </row>
    <row r="27" spans="1:51" s="422" customFormat="1" x14ac:dyDescent="0.35">
      <c r="A27" s="465" t="s">
        <v>4279</v>
      </c>
      <c r="B27" s="409" t="s">
        <v>4244</v>
      </c>
      <c r="C27" s="433">
        <v>10</v>
      </c>
      <c r="D27" s="453"/>
      <c r="E27" s="435"/>
      <c r="F27" s="436" t="s">
        <v>4247</v>
      </c>
      <c r="AY27" s="431"/>
    </row>
    <row r="28" spans="1:51" s="422" customFormat="1" x14ac:dyDescent="0.35">
      <c r="A28" s="432" t="s">
        <v>4280</v>
      </c>
      <c r="B28" s="409" t="s">
        <v>4245</v>
      </c>
      <c r="C28" s="433">
        <v>44.5</v>
      </c>
      <c r="D28" s="434">
        <v>0.77</v>
      </c>
      <c r="E28" s="435"/>
      <c r="F28" s="436" t="s">
        <v>4247</v>
      </c>
      <c r="AY28" s="431"/>
    </row>
    <row r="29" spans="1:51" s="422" customFormat="1" x14ac:dyDescent="0.35">
      <c r="A29" s="432" t="s">
        <v>4281</v>
      </c>
      <c r="B29" s="409" t="s">
        <v>4246</v>
      </c>
      <c r="C29" s="433">
        <v>48</v>
      </c>
      <c r="D29" s="453"/>
      <c r="E29" s="454">
        <v>0.7</v>
      </c>
      <c r="F29" s="436" t="s">
        <v>4247</v>
      </c>
      <c r="AY29" s="431"/>
    </row>
    <row r="30" spans="1:51" s="422" customFormat="1" x14ac:dyDescent="0.35">
      <c r="A30" s="432" t="s">
        <v>4282</v>
      </c>
      <c r="B30" s="409" t="s">
        <v>4245</v>
      </c>
      <c r="C30" s="433">
        <v>44.2</v>
      </c>
      <c r="D30" s="434">
        <v>0.47</v>
      </c>
      <c r="E30" s="435"/>
      <c r="F30" s="436" t="s">
        <v>4247</v>
      </c>
      <c r="AY30" s="431"/>
    </row>
    <row r="31" spans="1:51" s="422" customFormat="1" x14ac:dyDescent="0.35">
      <c r="A31" s="432" t="s">
        <v>4283</v>
      </c>
      <c r="B31" s="409" t="s">
        <v>4245</v>
      </c>
      <c r="C31" s="433">
        <v>8.9</v>
      </c>
      <c r="D31" s="434">
        <v>0.95</v>
      </c>
      <c r="E31" s="435"/>
      <c r="F31" s="436" t="s">
        <v>4247</v>
      </c>
      <c r="AY31" s="452" t="s">
        <v>3878</v>
      </c>
    </row>
    <row r="32" spans="1:51" s="422" customFormat="1" x14ac:dyDescent="0.35">
      <c r="A32" s="432" t="s">
        <v>3283</v>
      </c>
      <c r="B32" s="409" t="s">
        <v>4245</v>
      </c>
      <c r="C32" s="433">
        <v>27.5</v>
      </c>
      <c r="D32" s="434">
        <v>1.1299999999999999</v>
      </c>
      <c r="E32" s="435"/>
      <c r="F32" s="436" t="s">
        <v>4247</v>
      </c>
      <c r="AY32" s="452" t="s">
        <v>3888</v>
      </c>
    </row>
    <row r="33" spans="1:51" s="422" customFormat="1" x14ac:dyDescent="0.35">
      <c r="A33" s="432" t="s">
        <v>4284</v>
      </c>
      <c r="B33" s="409" t="s">
        <v>4246</v>
      </c>
      <c r="C33" s="433">
        <v>7.06</v>
      </c>
      <c r="D33" s="453"/>
      <c r="E33" s="454">
        <v>1.33</v>
      </c>
      <c r="F33" s="436" t="s">
        <v>4247</v>
      </c>
      <c r="AY33" s="452" t="s">
        <v>3889</v>
      </c>
    </row>
    <row r="34" spans="1:51" s="422" customFormat="1" x14ac:dyDescent="0.35">
      <c r="A34" s="432" t="s">
        <v>4285</v>
      </c>
      <c r="B34" s="409" t="s">
        <v>4244</v>
      </c>
      <c r="C34" s="433">
        <v>40.200000000000003</v>
      </c>
      <c r="D34" s="453"/>
      <c r="E34" s="435"/>
      <c r="F34" s="436" t="s">
        <v>4247</v>
      </c>
      <c r="AY34" s="431"/>
    </row>
    <row r="35" spans="1:51" s="422" customFormat="1" x14ac:dyDescent="0.35">
      <c r="A35" s="432" t="s">
        <v>4286</v>
      </c>
      <c r="B35" s="409" t="s">
        <v>4244</v>
      </c>
      <c r="C35" s="433">
        <v>20.7</v>
      </c>
      <c r="D35" s="453"/>
      <c r="E35" s="435"/>
      <c r="F35" s="436" t="s">
        <v>4247</v>
      </c>
      <c r="AY35" s="431"/>
    </row>
    <row r="36" spans="1:51" s="422" customFormat="1" x14ac:dyDescent="0.35">
      <c r="A36" s="432" t="s">
        <v>4287</v>
      </c>
      <c r="B36" s="409" t="s">
        <v>4244</v>
      </c>
      <c r="C36" s="433">
        <v>9.76</v>
      </c>
      <c r="D36" s="453"/>
      <c r="E36" s="435"/>
      <c r="F36" s="436" t="s">
        <v>4247</v>
      </c>
      <c r="AY36" s="431"/>
    </row>
    <row r="37" spans="1:51" s="422" customFormat="1" x14ac:dyDescent="0.35">
      <c r="A37" s="432" t="s">
        <v>4288</v>
      </c>
      <c r="B37" s="409" t="s">
        <v>4244</v>
      </c>
      <c r="C37" s="433">
        <v>32.5</v>
      </c>
      <c r="D37" s="453"/>
      <c r="E37" s="435"/>
      <c r="F37" s="436" t="s">
        <v>4247</v>
      </c>
      <c r="AY37" s="431"/>
    </row>
    <row r="38" spans="1:51" s="422" customFormat="1" x14ac:dyDescent="0.35">
      <c r="A38" s="432" t="s">
        <v>3284</v>
      </c>
      <c r="B38" s="409" t="s">
        <v>4246</v>
      </c>
      <c r="C38" s="434">
        <v>46.32</v>
      </c>
      <c r="D38" s="453"/>
      <c r="E38" s="454">
        <v>1.9</v>
      </c>
      <c r="F38" s="436" t="s">
        <v>4247</v>
      </c>
      <c r="AY38" s="452" t="s">
        <v>3879</v>
      </c>
    </row>
    <row r="39" spans="1:51" s="422" customFormat="1" x14ac:dyDescent="0.35">
      <c r="A39" s="432" t="s">
        <v>4289</v>
      </c>
      <c r="B39" s="409" t="s">
        <v>4245</v>
      </c>
      <c r="C39" s="433">
        <v>43</v>
      </c>
      <c r="D39" s="434">
        <v>0.82499999999999996</v>
      </c>
      <c r="E39" s="435"/>
      <c r="F39" s="436" t="s">
        <v>4247</v>
      </c>
      <c r="AY39" s="452" t="s">
        <v>3880</v>
      </c>
    </row>
    <row r="40" spans="1:51" x14ac:dyDescent="0.35">
      <c r="A40" s="383" t="s">
        <v>4290</v>
      </c>
      <c r="B40" s="183" t="s">
        <v>4246</v>
      </c>
      <c r="C40" s="184">
        <v>49.5</v>
      </c>
      <c r="D40" s="309"/>
      <c r="E40" s="208">
        <v>0.88</v>
      </c>
      <c r="F40" s="210" t="s">
        <v>4247</v>
      </c>
      <c r="AY40" s="314" t="s">
        <v>3881</v>
      </c>
    </row>
    <row r="41" spans="1:51" x14ac:dyDescent="0.35">
      <c r="A41" s="383" t="s">
        <v>4292</v>
      </c>
      <c r="B41" s="183" t="s">
        <v>4245</v>
      </c>
      <c r="C41" s="184">
        <v>40.4</v>
      </c>
      <c r="D41" s="145">
        <v>0.94</v>
      </c>
      <c r="E41" s="308"/>
      <c r="F41" s="210" t="s">
        <v>4247</v>
      </c>
      <c r="AY41" s="313"/>
    </row>
    <row r="42" spans="1:51" x14ac:dyDescent="0.35">
      <c r="A42" s="383" t="s">
        <v>4293</v>
      </c>
      <c r="B42" s="183" t="s">
        <v>4245</v>
      </c>
      <c r="C42" s="184">
        <v>38.1</v>
      </c>
      <c r="D42" s="145">
        <v>1</v>
      </c>
      <c r="E42" s="308"/>
      <c r="F42" s="210" t="s">
        <v>4247</v>
      </c>
      <c r="AY42" s="313"/>
    </row>
    <row r="43" spans="1:51" x14ac:dyDescent="0.35">
      <c r="A43" s="383" t="s">
        <v>4294</v>
      </c>
      <c r="B43" s="183" t="s">
        <v>4246</v>
      </c>
      <c r="C43" s="184">
        <v>50.4</v>
      </c>
      <c r="D43" s="309"/>
      <c r="E43" s="185">
        <v>0.67</v>
      </c>
      <c r="F43" s="210" t="s">
        <v>4248</v>
      </c>
      <c r="AY43" s="313"/>
    </row>
    <row r="44" spans="1:51" x14ac:dyDescent="0.35">
      <c r="A44" s="383" t="s">
        <v>4295</v>
      </c>
      <c r="B44" s="183" t="s">
        <v>4244</v>
      </c>
      <c r="C44" s="184">
        <v>18.899999999999999</v>
      </c>
      <c r="D44" s="309"/>
      <c r="E44" s="308"/>
      <c r="F44" s="210" t="s">
        <v>4247</v>
      </c>
      <c r="AY44" s="313"/>
    </row>
    <row r="45" spans="1:51" x14ac:dyDescent="0.35">
      <c r="A45" s="383" t="s">
        <v>4296</v>
      </c>
      <c r="B45" s="183" t="s">
        <v>4245</v>
      </c>
      <c r="C45" s="184">
        <v>11.8</v>
      </c>
      <c r="D45" s="206">
        <v>1.2</v>
      </c>
      <c r="E45" s="308"/>
      <c r="F45" s="210" t="s">
        <v>4248</v>
      </c>
      <c r="AY45" s="314" t="s">
        <v>3882</v>
      </c>
    </row>
    <row r="46" spans="1:51" x14ac:dyDescent="0.35">
      <c r="A46" s="383" t="s">
        <v>4297</v>
      </c>
      <c r="B46" s="183" t="s">
        <v>4245</v>
      </c>
      <c r="C46" s="206">
        <v>44.4</v>
      </c>
      <c r="D46" s="145">
        <v>0.87</v>
      </c>
      <c r="E46" s="308"/>
      <c r="F46" s="210" t="s">
        <v>4248</v>
      </c>
      <c r="AY46" s="314" t="s">
        <v>3883</v>
      </c>
    </row>
    <row r="47" spans="1:51" x14ac:dyDescent="0.35">
      <c r="A47" s="383" t="s">
        <v>4298</v>
      </c>
      <c r="B47" s="183" t="s">
        <v>4245</v>
      </c>
      <c r="C47" s="206">
        <v>37.799999999999997</v>
      </c>
      <c r="D47" s="145">
        <v>0.9</v>
      </c>
      <c r="E47" s="308"/>
      <c r="F47" s="210" t="s">
        <v>4247</v>
      </c>
      <c r="AY47" s="314" t="s">
        <v>3884</v>
      </c>
    </row>
    <row r="48" spans="1:51" x14ac:dyDescent="0.35">
      <c r="A48" s="383" t="s">
        <v>4299</v>
      </c>
      <c r="B48" s="183" t="s">
        <v>4245</v>
      </c>
      <c r="C48" s="184">
        <v>40.200000000000003</v>
      </c>
      <c r="D48" s="206">
        <v>0.8</v>
      </c>
      <c r="E48" s="308"/>
      <c r="F48" s="210" t="s">
        <v>4247</v>
      </c>
      <c r="AY48" s="314" t="s">
        <v>3885</v>
      </c>
    </row>
    <row r="49" spans="1:51" x14ac:dyDescent="0.35">
      <c r="A49" s="383" t="s">
        <v>4300</v>
      </c>
      <c r="B49" s="183" t="s">
        <v>4246</v>
      </c>
      <c r="C49" s="206">
        <v>35</v>
      </c>
      <c r="D49" s="309"/>
      <c r="E49" s="185">
        <v>0.9</v>
      </c>
      <c r="F49" s="210" t="s">
        <v>4248</v>
      </c>
      <c r="AY49" s="314" t="s">
        <v>3886</v>
      </c>
    </row>
    <row r="50" spans="1:51" x14ac:dyDescent="0.35">
      <c r="A50" s="383" t="s">
        <v>4301</v>
      </c>
      <c r="B50" s="183" t="s">
        <v>4245</v>
      </c>
      <c r="C50" s="184">
        <v>40.200000000000003</v>
      </c>
      <c r="D50" s="206">
        <v>0.75</v>
      </c>
      <c r="E50" s="308"/>
      <c r="F50" s="210" t="s">
        <v>4247</v>
      </c>
      <c r="AY50" s="314" t="s">
        <v>3887</v>
      </c>
    </row>
    <row r="51" spans="1:51" x14ac:dyDescent="0.35">
      <c r="A51" s="384" t="s">
        <v>4302</v>
      </c>
      <c r="B51" s="183" t="s">
        <v>4244</v>
      </c>
      <c r="C51" s="186">
        <v>15.6</v>
      </c>
      <c r="D51" s="310"/>
      <c r="E51" s="311"/>
      <c r="F51" s="210" t="s">
        <v>4248</v>
      </c>
      <c r="AY51" s="313"/>
    </row>
    <row r="52" spans="1:51" x14ac:dyDescent="0.35">
      <c r="A52" s="187" t="s">
        <v>4249</v>
      </c>
      <c r="B52" s="188"/>
      <c r="C52" s="188"/>
      <c r="D52" s="188"/>
      <c r="E52" s="209"/>
      <c r="F52" s="188"/>
      <c r="AY52" s="313"/>
    </row>
    <row r="53" spans="1:51" x14ac:dyDescent="0.35">
      <c r="A53" s="187" t="s">
        <v>4250</v>
      </c>
      <c r="B53" s="188"/>
      <c r="C53" s="188"/>
      <c r="D53" s="188"/>
      <c r="E53" s="209"/>
      <c r="F53" s="188"/>
      <c r="AY53" s="313"/>
    </row>
    <row r="54" spans="1:51" x14ac:dyDescent="0.35">
      <c r="A54" s="187" t="s">
        <v>4251</v>
      </c>
      <c r="B54" s="188"/>
      <c r="C54" s="188"/>
      <c r="D54" s="188"/>
      <c r="E54" s="209"/>
      <c r="F54" s="188"/>
      <c r="AY54" s="313"/>
    </row>
    <row r="55" spans="1:51" x14ac:dyDescent="0.35">
      <c r="A55" s="187" t="s">
        <v>4252</v>
      </c>
      <c r="B55" s="188"/>
      <c r="C55" s="188"/>
      <c r="D55" s="188"/>
      <c r="E55" s="209"/>
      <c r="F55" s="188"/>
      <c r="AY55" s="313"/>
    </row>
    <row r="56" spans="1:51" x14ac:dyDescent="0.35">
      <c r="A56" s="187" t="s">
        <v>4253</v>
      </c>
      <c r="B56" s="188"/>
      <c r="C56" s="188"/>
      <c r="D56" s="188"/>
      <c r="E56" s="209"/>
      <c r="F56" s="188"/>
      <c r="AY56" s="313"/>
    </row>
    <row r="57" spans="1:51" x14ac:dyDescent="0.35">
      <c r="A57" s="187" t="s">
        <v>4254</v>
      </c>
      <c r="B57" s="188"/>
      <c r="C57" s="188"/>
      <c r="D57" s="188"/>
      <c r="E57" s="209"/>
      <c r="F57" s="188"/>
      <c r="AY57" s="313"/>
    </row>
    <row r="58" spans="1:51" x14ac:dyDescent="0.35">
      <c r="A58" s="187" t="s">
        <v>4255</v>
      </c>
      <c r="B58" s="188"/>
      <c r="C58" s="188"/>
      <c r="D58" s="188"/>
      <c r="E58" s="209"/>
      <c r="F58" s="188"/>
      <c r="AY58" s="313"/>
    </row>
    <row r="59" spans="1:51" x14ac:dyDescent="0.35">
      <c r="A59" s="187" t="s">
        <v>4256</v>
      </c>
      <c r="B59" s="188"/>
      <c r="C59" s="188"/>
      <c r="D59" s="188"/>
      <c r="E59" s="209"/>
      <c r="F59" s="188"/>
      <c r="AY59" s="313"/>
    </row>
    <row r="60" spans="1:51" x14ac:dyDescent="0.35">
      <c r="A60" s="187" t="s">
        <v>4257</v>
      </c>
      <c r="B60" s="188"/>
      <c r="C60" s="188"/>
      <c r="D60" s="188"/>
      <c r="E60" s="209"/>
      <c r="F60" s="188"/>
      <c r="AY60" s="313"/>
    </row>
    <row r="61" spans="1:51" ht="15" thickBot="1" x14ac:dyDescent="0.4">
      <c r="A61" s="211" t="s">
        <v>4258</v>
      </c>
      <c r="B61" s="188"/>
      <c r="C61" s="212"/>
      <c r="D61" s="212"/>
      <c r="E61" s="213"/>
      <c r="F61" s="188"/>
      <c r="AY61" s="313"/>
    </row>
    <row r="62" spans="1:51" x14ac:dyDescent="0.35">
      <c r="A62" s="1126" t="s">
        <v>4782</v>
      </c>
      <c r="B62" s="1127"/>
      <c r="C62" s="1127"/>
      <c r="D62" s="1127"/>
      <c r="E62" s="1127"/>
      <c r="F62" s="1127"/>
      <c r="G62" s="1127"/>
      <c r="H62" s="1127"/>
      <c r="I62" s="1127"/>
      <c r="J62" s="1127"/>
      <c r="K62" s="1127"/>
      <c r="L62" s="1127"/>
      <c r="M62" s="1127"/>
      <c r="N62" s="1127"/>
      <c r="O62" s="1127"/>
      <c r="P62" s="1127"/>
      <c r="Q62" s="1127"/>
      <c r="R62" s="1127"/>
      <c r="S62" s="1127"/>
      <c r="T62" s="1127"/>
      <c r="U62" s="1127"/>
      <c r="V62" s="1127"/>
      <c r="W62" s="1127"/>
      <c r="X62" s="1127"/>
      <c r="Y62" s="1127"/>
      <c r="Z62" s="1127"/>
      <c r="AA62" s="1127"/>
      <c r="AB62" s="1127"/>
      <c r="AC62" s="1127"/>
      <c r="AD62" s="1127"/>
      <c r="AE62" s="1127"/>
      <c r="AF62" s="1127"/>
      <c r="AG62" s="1127"/>
      <c r="AH62" s="1127"/>
      <c r="AI62" s="1127"/>
      <c r="AJ62" s="1127"/>
      <c r="AK62" s="1127"/>
      <c r="AL62" s="1127"/>
      <c r="AM62" s="1127"/>
      <c r="AN62" s="1127"/>
      <c r="AO62" s="1127"/>
      <c r="AP62" s="1127"/>
      <c r="AQ62" s="1127"/>
      <c r="AR62" s="1127"/>
      <c r="AS62" s="1127"/>
      <c r="AT62" s="1127"/>
      <c r="AU62" s="1127"/>
      <c r="AV62" s="1127"/>
      <c r="AW62" s="1127"/>
      <c r="AX62" s="1127"/>
      <c r="AY62" s="1128"/>
    </row>
    <row r="63" spans="1:51" ht="18.75" customHeight="1" x14ac:dyDescent="0.35">
      <c r="A63" s="1129" t="s">
        <v>4783</v>
      </c>
      <c r="B63" s="1130"/>
      <c r="C63" s="1130"/>
      <c r="D63" s="1130"/>
      <c r="E63" s="1130"/>
      <c r="F63" s="1130"/>
      <c r="G63" s="1130"/>
      <c r="H63" s="1130"/>
      <c r="I63" s="1130"/>
      <c r="J63" s="1130"/>
      <c r="K63" s="1130"/>
      <c r="L63" s="1130"/>
      <c r="M63" s="1130"/>
      <c r="N63" s="1130"/>
      <c r="O63" s="1130"/>
      <c r="P63" s="1130"/>
      <c r="Q63" s="1130"/>
      <c r="R63" s="1130"/>
      <c r="S63" s="1130"/>
      <c r="T63" s="1130"/>
      <c r="U63" s="1130"/>
      <c r="V63" s="1130"/>
      <c r="W63" s="1130"/>
      <c r="X63" s="1130"/>
      <c r="Y63" s="1130"/>
      <c r="Z63" s="1130"/>
      <c r="AA63" s="1130"/>
      <c r="AB63" s="1130"/>
      <c r="AC63" s="1130"/>
      <c r="AD63" s="1130"/>
      <c r="AE63" s="1130"/>
      <c r="AF63" s="1130"/>
      <c r="AG63" s="1130"/>
      <c r="AH63" s="1130"/>
      <c r="AI63" s="1130"/>
      <c r="AJ63" s="1130"/>
      <c r="AK63" s="1130"/>
      <c r="AL63" s="1130"/>
      <c r="AM63" s="1130"/>
      <c r="AN63" s="1130"/>
      <c r="AO63" s="1130"/>
      <c r="AP63" s="1130"/>
      <c r="AQ63" s="1130"/>
      <c r="AR63" s="1130"/>
      <c r="AS63" s="1130"/>
      <c r="AT63" s="1130"/>
      <c r="AU63" s="1130"/>
      <c r="AV63" s="1130"/>
      <c r="AW63" s="1130"/>
      <c r="AX63" s="1130"/>
      <c r="AY63" s="1131"/>
    </row>
    <row r="64" spans="1:51" x14ac:dyDescent="0.35">
      <c r="A64" s="1132" t="s">
        <v>4784</v>
      </c>
      <c r="B64" s="1133"/>
      <c r="C64" s="1133"/>
      <c r="D64" s="1133"/>
      <c r="E64" s="1133"/>
      <c r="F64" s="1133"/>
      <c r="G64" s="1133"/>
      <c r="H64" s="1133"/>
      <c r="I64" s="1133"/>
      <c r="J64" s="1133"/>
      <c r="K64" s="1133"/>
      <c r="L64" s="1133"/>
      <c r="M64" s="1133"/>
      <c r="N64" s="1133"/>
      <c r="O64" s="1133"/>
      <c r="P64" s="1133"/>
      <c r="Q64" s="1133"/>
      <c r="R64" s="1133"/>
      <c r="S64" s="1133"/>
      <c r="T64" s="1133"/>
      <c r="U64" s="1133"/>
      <c r="V64" s="1133"/>
      <c r="W64" s="1133"/>
      <c r="X64" s="1133"/>
      <c r="Y64" s="1133"/>
      <c r="Z64" s="1133"/>
      <c r="AA64" s="1133"/>
      <c r="AB64" s="1133"/>
      <c r="AC64" s="1133"/>
      <c r="AD64" s="1133"/>
      <c r="AE64" s="1133"/>
      <c r="AF64" s="1133"/>
      <c r="AG64" s="1133"/>
      <c r="AH64" s="1133"/>
      <c r="AI64" s="1133"/>
      <c r="AJ64" s="1133"/>
      <c r="AK64" s="1133"/>
      <c r="AL64" s="1133"/>
      <c r="AM64" s="1133"/>
      <c r="AN64" s="1133"/>
      <c r="AO64" s="1133"/>
      <c r="AP64" s="1133"/>
      <c r="AQ64" s="1133"/>
      <c r="AR64" s="1133"/>
      <c r="AS64" s="1133"/>
      <c r="AT64" s="1133"/>
      <c r="AU64" s="1133"/>
      <c r="AV64" s="1133"/>
      <c r="AW64" s="1133"/>
      <c r="AX64" s="1133"/>
      <c r="AY64" s="1134"/>
    </row>
    <row r="65" spans="1:51" x14ac:dyDescent="0.35">
      <c r="A65" s="1123" t="s">
        <v>4843</v>
      </c>
      <c r="B65" s="1124"/>
      <c r="C65" s="1124"/>
      <c r="D65" s="1124"/>
      <c r="E65" s="1124"/>
      <c r="F65" s="1124"/>
      <c r="G65" s="1124"/>
      <c r="H65" s="1124"/>
      <c r="I65" s="1124"/>
      <c r="J65" s="1124"/>
      <c r="K65" s="1124"/>
      <c r="L65" s="1124"/>
      <c r="M65" s="1124"/>
      <c r="N65" s="1124"/>
      <c r="O65" s="1124"/>
      <c r="P65" s="1124"/>
      <c r="Q65" s="1124"/>
      <c r="R65" s="1124"/>
      <c r="S65" s="1124"/>
      <c r="T65" s="1124"/>
      <c r="U65" s="1124"/>
      <c r="V65" s="1124"/>
      <c r="W65" s="1124"/>
      <c r="X65" s="1124"/>
      <c r="Y65" s="1124"/>
      <c r="Z65" s="1124"/>
      <c r="AA65" s="1124"/>
      <c r="AB65" s="1124"/>
      <c r="AC65" s="1124"/>
      <c r="AD65" s="1124"/>
      <c r="AE65" s="1124"/>
      <c r="AF65" s="1124"/>
      <c r="AG65" s="1124"/>
      <c r="AH65" s="1124"/>
      <c r="AI65" s="1124"/>
      <c r="AJ65" s="1124"/>
      <c r="AK65" s="1124"/>
      <c r="AL65" s="1124"/>
      <c r="AM65" s="1124"/>
      <c r="AN65" s="1124"/>
      <c r="AO65" s="1124"/>
      <c r="AP65" s="1124"/>
      <c r="AQ65" s="1124"/>
      <c r="AR65" s="1124"/>
      <c r="AS65" s="1124"/>
      <c r="AT65" s="1124"/>
      <c r="AU65" s="1124"/>
      <c r="AV65" s="1124"/>
      <c r="AW65" s="1124"/>
      <c r="AX65" s="1124"/>
      <c r="AY65" s="1125"/>
    </row>
    <row r="66" spans="1:51" x14ac:dyDescent="0.35">
      <c r="A66" s="1102" t="s">
        <v>4844</v>
      </c>
      <c r="B66" s="1103"/>
      <c r="C66" s="1103"/>
      <c r="D66" s="1103"/>
      <c r="E66" s="1103"/>
      <c r="F66" s="1103"/>
      <c r="G66" s="1103"/>
      <c r="H66" s="1103"/>
      <c r="I66" s="1103"/>
      <c r="J66" s="1103"/>
      <c r="K66" s="1103"/>
      <c r="L66" s="1103"/>
      <c r="M66" s="1103"/>
      <c r="N66" s="1103"/>
      <c r="O66" s="1103"/>
      <c r="P66" s="1103"/>
      <c r="Q66" s="1103"/>
      <c r="R66" s="1103"/>
      <c r="S66" s="1103"/>
      <c r="T66" s="1103"/>
      <c r="U66" s="1103"/>
      <c r="V66" s="1103"/>
      <c r="W66" s="1103"/>
      <c r="X66" s="1103"/>
      <c r="Y66" s="1103"/>
      <c r="Z66" s="1103"/>
      <c r="AA66" s="1103"/>
      <c r="AB66" s="1103"/>
      <c r="AC66" s="1103"/>
      <c r="AD66" s="1103"/>
      <c r="AE66" s="1103"/>
      <c r="AF66" s="1103"/>
      <c r="AG66" s="1103"/>
      <c r="AH66" s="1103"/>
      <c r="AI66" s="1103"/>
      <c r="AJ66" s="1103"/>
      <c r="AK66" s="1103"/>
      <c r="AL66" s="1103"/>
      <c r="AM66" s="1103"/>
      <c r="AN66" s="1103"/>
      <c r="AO66" s="1103"/>
      <c r="AP66" s="1103"/>
      <c r="AQ66" s="1103"/>
      <c r="AR66" s="1103"/>
      <c r="AS66" s="1103"/>
      <c r="AT66" s="1103"/>
      <c r="AU66" s="1103"/>
      <c r="AV66" s="1103"/>
      <c r="AW66" s="1103"/>
      <c r="AX66" s="1103"/>
      <c r="AY66" s="1104"/>
    </row>
    <row r="67" spans="1:51" x14ac:dyDescent="0.35">
      <c r="A67" s="1105" t="s">
        <v>4306</v>
      </c>
      <c r="B67" s="1121"/>
      <c r="C67" s="1121"/>
      <c r="D67" s="1121"/>
      <c r="E67" s="1121"/>
      <c r="F67" s="1121"/>
      <c r="G67" s="1121"/>
      <c r="H67" s="1121"/>
      <c r="I67" s="1121"/>
      <c r="J67" s="1121"/>
      <c r="K67" s="1121"/>
      <c r="L67" s="1121"/>
      <c r="M67" s="1121"/>
      <c r="N67" s="1121"/>
      <c r="O67" s="1121"/>
      <c r="P67" s="1121"/>
      <c r="Q67" s="1121"/>
      <c r="R67" s="1121"/>
      <c r="S67" s="1121"/>
      <c r="T67" s="1121"/>
      <c r="U67" s="1121"/>
      <c r="V67" s="1121"/>
      <c r="W67" s="1121"/>
      <c r="X67" s="1121"/>
      <c r="Y67" s="1121"/>
      <c r="Z67" s="1121"/>
      <c r="AA67" s="1121"/>
      <c r="AB67" s="1121"/>
      <c r="AC67" s="1121"/>
      <c r="AD67" s="1121"/>
      <c r="AE67" s="1121"/>
      <c r="AF67" s="1121"/>
      <c r="AG67" s="1121"/>
      <c r="AH67" s="1121"/>
      <c r="AI67" s="1121"/>
      <c r="AJ67" s="1121"/>
      <c r="AK67" s="1121"/>
      <c r="AL67" s="1121"/>
      <c r="AM67" s="1121"/>
      <c r="AN67" s="1121"/>
      <c r="AO67" s="1121"/>
      <c r="AP67" s="1121"/>
      <c r="AQ67" s="1121"/>
      <c r="AR67" s="1121"/>
      <c r="AS67" s="1121"/>
      <c r="AT67" s="1121"/>
      <c r="AU67" s="1121"/>
      <c r="AV67" s="1121"/>
      <c r="AW67" s="1121"/>
      <c r="AX67" s="1121"/>
      <c r="AY67" s="1122"/>
    </row>
    <row r="68" spans="1:51" x14ac:dyDescent="0.35">
      <c r="A68" s="1102" t="s">
        <v>4303</v>
      </c>
      <c r="B68" s="1103"/>
      <c r="C68" s="1103"/>
      <c r="D68" s="1103"/>
      <c r="E68" s="1103"/>
      <c r="F68" s="1103"/>
      <c r="G68" s="1103"/>
      <c r="H68" s="1103"/>
      <c r="I68" s="1103"/>
      <c r="J68" s="1103"/>
      <c r="K68" s="1103"/>
      <c r="L68" s="1103"/>
      <c r="M68" s="1103"/>
      <c r="N68" s="1103"/>
      <c r="O68" s="1103"/>
      <c r="P68" s="1103"/>
      <c r="Q68" s="1103"/>
      <c r="R68" s="1103"/>
      <c r="S68" s="1103"/>
      <c r="T68" s="1103"/>
      <c r="U68" s="1103"/>
      <c r="V68" s="1103"/>
      <c r="W68" s="1103"/>
      <c r="X68" s="1103"/>
      <c r="Y68" s="1103"/>
      <c r="Z68" s="1103"/>
      <c r="AA68" s="1103"/>
      <c r="AB68" s="1103"/>
      <c r="AC68" s="1103"/>
      <c r="AD68" s="1103"/>
      <c r="AE68" s="1103"/>
      <c r="AF68" s="1103"/>
      <c r="AG68" s="1103"/>
      <c r="AH68" s="1103"/>
      <c r="AI68" s="1103"/>
      <c r="AJ68" s="1103"/>
      <c r="AK68" s="1103"/>
      <c r="AL68" s="1103"/>
      <c r="AM68" s="1103"/>
      <c r="AN68" s="1103"/>
      <c r="AO68" s="1103"/>
      <c r="AP68" s="1103"/>
      <c r="AQ68" s="1103"/>
      <c r="AR68" s="1103"/>
      <c r="AS68" s="1103"/>
      <c r="AT68" s="1103"/>
      <c r="AU68" s="1103"/>
      <c r="AV68" s="1103"/>
      <c r="AW68" s="1103"/>
      <c r="AX68" s="1103"/>
      <c r="AY68" s="1104"/>
    </row>
    <row r="69" spans="1:51" x14ac:dyDescent="0.35">
      <c r="A69" s="1105" t="s">
        <v>4307</v>
      </c>
      <c r="B69" s="1121"/>
      <c r="C69" s="1121"/>
      <c r="D69" s="1121"/>
      <c r="E69" s="1121"/>
      <c r="F69" s="1121"/>
      <c r="G69" s="1121"/>
      <c r="H69" s="1121"/>
      <c r="I69" s="1121"/>
      <c r="J69" s="1121"/>
      <c r="K69" s="1121"/>
      <c r="L69" s="1121"/>
      <c r="M69" s="1121"/>
      <c r="N69" s="1121"/>
      <c r="O69" s="1121"/>
      <c r="P69" s="1121"/>
      <c r="Q69" s="1121"/>
      <c r="R69" s="1121"/>
      <c r="S69" s="1121"/>
      <c r="T69" s="1121"/>
      <c r="U69" s="1121"/>
      <c r="V69" s="1121"/>
      <c r="W69" s="1121"/>
      <c r="X69" s="1121"/>
      <c r="Y69" s="1121"/>
      <c r="Z69" s="1121"/>
      <c r="AA69" s="1121"/>
      <c r="AB69" s="1121"/>
      <c r="AC69" s="1121"/>
      <c r="AD69" s="1121"/>
      <c r="AE69" s="1121"/>
      <c r="AF69" s="1121"/>
      <c r="AG69" s="1121"/>
      <c r="AH69" s="1121"/>
      <c r="AI69" s="1121"/>
      <c r="AJ69" s="1121"/>
      <c r="AK69" s="1121"/>
      <c r="AL69" s="1121"/>
      <c r="AM69" s="1121"/>
      <c r="AN69" s="1121"/>
      <c r="AO69" s="1121"/>
      <c r="AP69" s="1121"/>
      <c r="AQ69" s="1121"/>
      <c r="AR69" s="1121"/>
      <c r="AS69" s="1121"/>
      <c r="AT69" s="1121"/>
      <c r="AU69" s="1121"/>
      <c r="AV69" s="1121"/>
      <c r="AW69" s="1121"/>
      <c r="AX69" s="1121"/>
      <c r="AY69" s="1122"/>
    </row>
    <row r="70" spans="1:51" x14ac:dyDescent="0.35">
      <c r="A70" s="1102" t="s">
        <v>4304</v>
      </c>
      <c r="B70" s="1103"/>
      <c r="C70" s="1103"/>
      <c r="D70" s="1103"/>
      <c r="E70" s="1103"/>
      <c r="F70" s="1103"/>
      <c r="G70" s="1103"/>
      <c r="H70" s="1103"/>
      <c r="I70" s="1103"/>
      <c r="J70" s="1103"/>
      <c r="K70" s="1103"/>
      <c r="L70" s="1103"/>
      <c r="M70" s="1103"/>
      <c r="N70" s="1103"/>
      <c r="O70" s="1103"/>
      <c r="P70" s="1103"/>
      <c r="Q70" s="1103"/>
      <c r="R70" s="1103"/>
      <c r="S70" s="1103"/>
      <c r="T70" s="1103"/>
      <c r="U70" s="1103"/>
      <c r="V70" s="1103"/>
      <c r="W70" s="1103"/>
      <c r="X70" s="1103"/>
      <c r="Y70" s="1103"/>
      <c r="Z70" s="1103"/>
      <c r="AA70" s="1103"/>
      <c r="AB70" s="1103"/>
      <c r="AC70" s="1103"/>
      <c r="AD70" s="1103"/>
      <c r="AE70" s="1103"/>
      <c r="AF70" s="1103"/>
      <c r="AG70" s="1103"/>
      <c r="AH70" s="1103"/>
      <c r="AI70" s="1103"/>
      <c r="AJ70" s="1103"/>
      <c r="AK70" s="1103"/>
      <c r="AL70" s="1103"/>
      <c r="AM70" s="1103"/>
      <c r="AN70" s="1103"/>
      <c r="AO70" s="1103"/>
      <c r="AP70" s="1103"/>
      <c r="AQ70" s="1103"/>
      <c r="AR70" s="1103"/>
      <c r="AS70" s="1103"/>
      <c r="AT70" s="1103"/>
      <c r="AU70" s="1103"/>
      <c r="AV70" s="1103"/>
      <c r="AW70" s="1103"/>
      <c r="AX70" s="1103"/>
      <c r="AY70" s="1104"/>
    </row>
    <row r="71" spans="1:51" x14ac:dyDescent="0.35">
      <c r="A71" s="1105" t="s">
        <v>4305</v>
      </c>
      <c r="B71" s="1121"/>
      <c r="C71" s="1121"/>
      <c r="D71" s="1121"/>
      <c r="E71" s="1121"/>
      <c r="F71" s="1121"/>
      <c r="G71" s="1121"/>
      <c r="H71" s="1121"/>
      <c r="I71" s="1121"/>
      <c r="J71" s="1121"/>
      <c r="K71" s="1121"/>
      <c r="L71" s="1121"/>
      <c r="M71" s="1121"/>
      <c r="N71" s="1121"/>
      <c r="O71" s="1121"/>
      <c r="P71" s="1121"/>
      <c r="Q71" s="1121"/>
      <c r="R71" s="1121"/>
      <c r="S71" s="1121"/>
      <c r="T71" s="1121"/>
      <c r="U71" s="1121"/>
      <c r="V71" s="1121"/>
      <c r="W71" s="1121"/>
      <c r="X71" s="1121"/>
      <c r="Y71" s="1121"/>
      <c r="Z71" s="1121"/>
      <c r="AA71" s="1121"/>
      <c r="AB71" s="1121"/>
      <c r="AC71" s="1121"/>
      <c r="AD71" s="1121"/>
      <c r="AE71" s="1121"/>
      <c r="AF71" s="1121"/>
      <c r="AG71" s="1121"/>
      <c r="AH71" s="1121"/>
      <c r="AI71" s="1121"/>
      <c r="AJ71" s="1121"/>
      <c r="AK71" s="1121"/>
      <c r="AL71" s="1121"/>
      <c r="AM71" s="1121"/>
      <c r="AN71" s="1121"/>
      <c r="AO71" s="1121"/>
      <c r="AP71" s="1121"/>
      <c r="AQ71" s="1121"/>
      <c r="AR71" s="1121"/>
      <c r="AS71" s="1121"/>
      <c r="AT71" s="1121"/>
      <c r="AU71" s="1121"/>
      <c r="AV71" s="1121"/>
      <c r="AW71" s="1121"/>
      <c r="AX71" s="1121"/>
      <c r="AY71" s="1122"/>
    </row>
    <row r="72" spans="1:51" x14ac:dyDescent="0.35">
      <c r="A72" s="1102" t="s">
        <v>4308</v>
      </c>
      <c r="B72" s="1103"/>
      <c r="C72" s="1103"/>
      <c r="D72" s="1103"/>
      <c r="E72" s="1103"/>
      <c r="F72" s="1103"/>
      <c r="G72" s="1103"/>
      <c r="H72" s="1103"/>
      <c r="I72" s="1103"/>
      <c r="J72" s="1103"/>
      <c r="K72" s="1103"/>
      <c r="L72" s="1103"/>
      <c r="M72" s="1103"/>
      <c r="N72" s="1103"/>
      <c r="O72" s="1103"/>
      <c r="P72" s="1103"/>
      <c r="Q72" s="1103"/>
      <c r="R72" s="1103"/>
      <c r="S72" s="1103"/>
      <c r="T72" s="1103"/>
      <c r="U72" s="1103"/>
      <c r="V72" s="1103"/>
      <c r="W72" s="1103"/>
      <c r="X72" s="1103"/>
      <c r="Y72" s="1103"/>
      <c r="Z72" s="1103"/>
      <c r="AA72" s="1103"/>
      <c r="AB72" s="1103"/>
      <c r="AC72" s="1103"/>
      <c r="AD72" s="1103"/>
      <c r="AE72" s="1103"/>
      <c r="AF72" s="1103"/>
      <c r="AG72" s="1103"/>
      <c r="AH72" s="1103"/>
      <c r="AI72" s="1103"/>
      <c r="AJ72" s="1103"/>
      <c r="AK72" s="1103"/>
      <c r="AL72" s="1103"/>
      <c r="AM72" s="1103"/>
      <c r="AN72" s="1103"/>
      <c r="AO72" s="1103"/>
      <c r="AP72" s="1103"/>
      <c r="AQ72" s="1103"/>
      <c r="AR72" s="1103"/>
      <c r="AS72" s="1103"/>
      <c r="AT72" s="1103"/>
      <c r="AU72" s="1103"/>
      <c r="AV72" s="1103"/>
      <c r="AW72" s="1103"/>
      <c r="AX72" s="1103"/>
      <c r="AY72" s="1104"/>
    </row>
    <row r="73" spans="1:51" x14ac:dyDescent="0.35">
      <c r="A73" s="1105" t="s">
        <v>4309</v>
      </c>
      <c r="B73" s="1121"/>
      <c r="C73" s="1121"/>
      <c r="D73" s="1121"/>
      <c r="E73" s="1121"/>
      <c r="F73" s="1121"/>
      <c r="G73" s="1121"/>
      <c r="H73" s="1121"/>
      <c r="I73" s="1121"/>
      <c r="J73" s="1121"/>
      <c r="K73" s="1121"/>
      <c r="L73" s="1121"/>
      <c r="M73" s="1121"/>
      <c r="N73" s="1121"/>
      <c r="O73" s="1121"/>
      <c r="P73" s="1121"/>
      <c r="Q73" s="1121"/>
      <c r="R73" s="1121"/>
      <c r="S73" s="1121"/>
      <c r="T73" s="1121"/>
      <c r="U73" s="1121"/>
      <c r="V73" s="1121"/>
      <c r="W73" s="1121"/>
      <c r="X73" s="1121"/>
      <c r="Y73" s="1121"/>
      <c r="Z73" s="1121"/>
      <c r="AA73" s="1121"/>
      <c r="AB73" s="1121"/>
      <c r="AC73" s="1121"/>
      <c r="AD73" s="1121"/>
      <c r="AE73" s="1121"/>
      <c r="AF73" s="1121"/>
      <c r="AG73" s="1121"/>
      <c r="AH73" s="1121"/>
      <c r="AI73" s="1121"/>
      <c r="AJ73" s="1121"/>
      <c r="AK73" s="1121"/>
      <c r="AL73" s="1121"/>
      <c r="AM73" s="1121"/>
      <c r="AN73" s="1121"/>
      <c r="AO73" s="1121"/>
      <c r="AP73" s="1121"/>
      <c r="AQ73" s="1121"/>
      <c r="AR73" s="1121"/>
      <c r="AS73" s="1121"/>
      <c r="AT73" s="1121"/>
      <c r="AU73" s="1121"/>
      <c r="AV73" s="1121"/>
      <c r="AW73" s="1121"/>
      <c r="AX73" s="1121"/>
      <c r="AY73" s="1122"/>
    </row>
    <row r="74" spans="1:51" x14ac:dyDescent="0.35">
      <c r="A74" s="1102" t="s">
        <v>4310</v>
      </c>
      <c r="B74" s="1103"/>
      <c r="C74" s="1103"/>
      <c r="D74" s="1103"/>
      <c r="E74" s="1103"/>
      <c r="F74" s="1103"/>
      <c r="G74" s="1103"/>
      <c r="H74" s="1103"/>
      <c r="I74" s="1103"/>
      <c r="J74" s="1103"/>
      <c r="K74" s="1103"/>
      <c r="L74" s="1103"/>
      <c r="M74" s="1103"/>
      <c r="N74" s="1103"/>
      <c r="O74" s="1103"/>
      <c r="P74" s="1103"/>
      <c r="Q74" s="1103"/>
      <c r="R74" s="1103"/>
      <c r="S74" s="1103"/>
      <c r="T74" s="1103"/>
      <c r="U74" s="1103"/>
      <c r="V74" s="1103"/>
      <c r="W74" s="1103"/>
      <c r="X74" s="1103"/>
      <c r="Y74" s="1103"/>
      <c r="Z74" s="1103"/>
      <c r="AA74" s="1103"/>
      <c r="AB74" s="1103"/>
      <c r="AC74" s="1103"/>
      <c r="AD74" s="1103"/>
      <c r="AE74" s="1103"/>
      <c r="AF74" s="1103"/>
      <c r="AG74" s="1103"/>
      <c r="AH74" s="1103"/>
      <c r="AI74" s="1103"/>
      <c r="AJ74" s="1103"/>
      <c r="AK74" s="1103"/>
      <c r="AL74" s="1103"/>
      <c r="AM74" s="1103"/>
      <c r="AN74" s="1103"/>
      <c r="AO74" s="1103"/>
      <c r="AP74" s="1103"/>
      <c r="AQ74" s="1103"/>
      <c r="AR74" s="1103"/>
      <c r="AS74" s="1103"/>
      <c r="AT74" s="1103"/>
      <c r="AU74" s="1103"/>
      <c r="AV74" s="1103"/>
      <c r="AW74" s="1103"/>
      <c r="AX74" s="1103"/>
      <c r="AY74" s="1104"/>
    </row>
    <row r="75" spans="1:51" x14ac:dyDescent="0.35">
      <c r="A75" s="1105" t="s">
        <v>4311</v>
      </c>
      <c r="B75" s="1121"/>
      <c r="C75" s="1121"/>
      <c r="D75" s="1121"/>
      <c r="E75" s="1121"/>
      <c r="F75" s="1121"/>
      <c r="G75" s="1121"/>
      <c r="H75" s="1121"/>
      <c r="I75" s="1121"/>
      <c r="J75" s="1121"/>
      <c r="K75" s="1121"/>
      <c r="L75" s="1121"/>
      <c r="M75" s="1121"/>
      <c r="N75" s="1121"/>
      <c r="O75" s="1121"/>
      <c r="P75" s="1121"/>
      <c r="Q75" s="1121"/>
      <c r="R75" s="1121"/>
      <c r="S75" s="1121"/>
      <c r="T75" s="1121"/>
      <c r="U75" s="1121"/>
      <c r="V75" s="1121"/>
      <c r="W75" s="1121"/>
      <c r="X75" s="1121"/>
      <c r="Y75" s="1121"/>
      <c r="Z75" s="1121"/>
      <c r="AA75" s="1121"/>
      <c r="AB75" s="1121"/>
      <c r="AC75" s="1121"/>
      <c r="AD75" s="1121"/>
      <c r="AE75" s="1121"/>
      <c r="AF75" s="1121"/>
      <c r="AG75" s="1121"/>
      <c r="AH75" s="1121"/>
      <c r="AI75" s="1121"/>
      <c r="AJ75" s="1121"/>
      <c r="AK75" s="1121"/>
      <c r="AL75" s="1121"/>
      <c r="AM75" s="1121"/>
      <c r="AN75" s="1121"/>
      <c r="AO75" s="1121"/>
      <c r="AP75" s="1121"/>
      <c r="AQ75" s="1121"/>
      <c r="AR75" s="1121"/>
      <c r="AS75" s="1121"/>
      <c r="AT75" s="1121"/>
      <c r="AU75" s="1121"/>
      <c r="AV75" s="1121"/>
      <c r="AW75" s="1121"/>
      <c r="AX75" s="1121"/>
      <c r="AY75" s="1122"/>
    </row>
    <row r="76" spans="1:51" x14ac:dyDescent="0.35">
      <c r="A76" s="1143" t="s">
        <v>4313</v>
      </c>
      <c r="B76" s="1144"/>
      <c r="C76" s="1144"/>
      <c r="D76" s="1144"/>
      <c r="E76" s="1144"/>
      <c r="F76" s="1144"/>
      <c r="G76" s="1144"/>
      <c r="H76" s="1144"/>
      <c r="I76" s="1144"/>
      <c r="J76" s="1144"/>
      <c r="K76" s="1144"/>
      <c r="L76" s="1144"/>
      <c r="M76" s="1144"/>
      <c r="N76" s="1144"/>
      <c r="O76" s="1144"/>
      <c r="P76" s="1144"/>
      <c r="Q76" s="1144"/>
      <c r="R76" s="1144"/>
      <c r="S76" s="1144"/>
      <c r="T76" s="1144"/>
      <c r="U76" s="1144"/>
      <c r="V76" s="1144"/>
      <c r="W76" s="1144"/>
      <c r="X76" s="1144"/>
      <c r="Y76" s="1144"/>
      <c r="Z76" s="1144"/>
      <c r="AA76" s="1144"/>
      <c r="AB76" s="1144"/>
      <c r="AC76" s="1144"/>
      <c r="AD76" s="1144"/>
      <c r="AE76" s="1144"/>
      <c r="AF76" s="1144"/>
      <c r="AG76" s="1144"/>
      <c r="AH76" s="1144"/>
      <c r="AI76" s="1144"/>
      <c r="AJ76" s="1144"/>
      <c r="AK76" s="1144"/>
      <c r="AL76" s="1144"/>
      <c r="AM76" s="1144"/>
      <c r="AN76" s="1144"/>
      <c r="AO76" s="1144"/>
      <c r="AP76" s="1144"/>
      <c r="AQ76" s="1144"/>
      <c r="AR76" s="1144"/>
      <c r="AS76" s="1144"/>
      <c r="AT76" s="1144"/>
      <c r="AU76" s="1144"/>
      <c r="AV76" s="1144"/>
      <c r="AW76" s="1144"/>
      <c r="AX76" s="1144"/>
      <c r="AY76" s="1145"/>
    </row>
    <row r="77" spans="1:51" x14ac:dyDescent="0.35">
      <c r="A77" s="1140" t="s">
        <v>4312</v>
      </c>
      <c r="B77" s="1141"/>
      <c r="C77" s="1141"/>
      <c r="D77" s="1141"/>
      <c r="E77" s="1141"/>
      <c r="F77" s="1141"/>
      <c r="G77" s="1141"/>
      <c r="H77" s="1141"/>
      <c r="I77" s="1141"/>
      <c r="J77" s="1141"/>
      <c r="K77" s="1141"/>
      <c r="L77" s="1141"/>
      <c r="M77" s="1141"/>
      <c r="N77" s="1141"/>
      <c r="O77" s="1141"/>
      <c r="P77" s="1141"/>
      <c r="Q77" s="1141"/>
      <c r="R77" s="1141"/>
      <c r="S77" s="1141"/>
      <c r="T77" s="1141"/>
      <c r="U77" s="1141"/>
      <c r="V77" s="1141"/>
      <c r="W77" s="1141"/>
      <c r="X77" s="1141"/>
      <c r="Y77" s="1141"/>
      <c r="Z77" s="1141"/>
      <c r="AA77" s="1141"/>
      <c r="AB77" s="1141"/>
      <c r="AC77" s="1141"/>
      <c r="AD77" s="1141"/>
      <c r="AE77" s="1141"/>
      <c r="AF77" s="1141"/>
      <c r="AG77" s="1141"/>
      <c r="AH77" s="1141"/>
      <c r="AI77" s="1141"/>
      <c r="AJ77" s="1141"/>
      <c r="AK77" s="1141"/>
      <c r="AL77" s="1141"/>
      <c r="AM77" s="1141"/>
      <c r="AN77" s="1141"/>
      <c r="AO77" s="1141"/>
      <c r="AP77" s="1141"/>
      <c r="AQ77" s="1141"/>
      <c r="AR77" s="1141"/>
      <c r="AS77" s="1141"/>
      <c r="AT77" s="1141"/>
      <c r="AU77" s="1141"/>
      <c r="AV77" s="1141"/>
      <c r="AW77" s="1141"/>
      <c r="AX77" s="1141"/>
      <c r="AY77" s="1142"/>
    </row>
    <row r="78" spans="1:51" x14ac:dyDescent="0.35">
      <c r="A78" s="1115" t="s">
        <v>3890</v>
      </c>
      <c r="B78" s="1116"/>
      <c r="C78" s="1116"/>
      <c r="D78" s="1116"/>
      <c r="E78" s="1116"/>
      <c r="F78" s="1116"/>
      <c r="G78" s="1116"/>
      <c r="H78" s="1116"/>
      <c r="I78" s="1116"/>
      <c r="J78" s="1116"/>
      <c r="K78" s="1116"/>
      <c r="L78" s="1116"/>
      <c r="M78" s="1116"/>
      <c r="N78" s="1116"/>
      <c r="O78" s="1116"/>
      <c r="P78" s="1116"/>
      <c r="Q78" s="1116"/>
      <c r="R78" s="1116"/>
      <c r="S78" s="1116"/>
      <c r="T78" s="1116"/>
      <c r="U78" s="1116"/>
      <c r="V78" s="1116"/>
      <c r="W78" s="1116"/>
      <c r="X78" s="1116"/>
      <c r="Y78" s="1116"/>
      <c r="Z78" s="1116"/>
      <c r="AA78" s="1116"/>
      <c r="AB78" s="1116"/>
      <c r="AC78" s="1116"/>
      <c r="AD78" s="1116"/>
      <c r="AE78" s="1116"/>
      <c r="AF78" s="1116"/>
      <c r="AG78" s="1116"/>
      <c r="AH78" s="1116"/>
      <c r="AI78" s="1116"/>
      <c r="AJ78" s="1116"/>
      <c r="AK78" s="1116"/>
      <c r="AL78" s="1116"/>
      <c r="AM78" s="1116"/>
      <c r="AN78" s="1116"/>
      <c r="AO78" s="1116"/>
      <c r="AP78" s="1116"/>
      <c r="AQ78" s="1116"/>
      <c r="AR78" s="1116"/>
      <c r="AS78" s="1116"/>
      <c r="AT78" s="1116"/>
      <c r="AU78" s="1116"/>
      <c r="AV78" s="1116"/>
      <c r="AW78" s="1116"/>
      <c r="AX78" s="1116"/>
      <c r="AY78" s="1117"/>
    </row>
    <row r="79" spans="1:51" x14ac:dyDescent="0.35">
      <c r="A79" s="1137" t="s">
        <v>4314</v>
      </c>
      <c r="B79" s="1138"/>
      <c r="C79" s="1138"/>
      <c r="D79" s="1138"/>
      <c r="E79" s="1138"/>
      <c r="F79" s="1138"/>
      <c r="G79" s="1138"/>
      <c r="H79" s="1138"/>
      <c r="I79" s="1138"/>
      <c r="J79" s="1138"/>
      <c r="K79" s="1138"/>
      <c r="L79" s="1138"/>
      <c r="M79" s="1138"/>
      <c r="N79" s="1138"/>
      <c r="O79" s="1138"/>
      <c r="P79" s="1138"/>
      <c r="Q79" s="1138"/>
      <c r="R79" s="1138"/>
      <c r="S79" s="1138"/>
      <c r="T79" s="1138"/>
      <c r="U79" s="1138"/>
      <c r="V79" s="1138"/>
      <c r="W79" s="1138"/>
      <c r="X79" s="1138"/>
      <c r="Y79" s="1138"/>
      <c r="Z79" s="1138"/>
      <c r="AA79" s="1138"/>
      <c r="AB79" s="1138"/>
      <c r="AC79" s="1138"/>
      <c r="AD79" s="1138"/>
      <c r="AE79" s="1138"/>
      <c r="AF79" s="1138"/>
      <c r="AG79" s="1138"/>
      <c r="AH79" s="1138"/>
      <c r="AI79" s="1138"/>
      <c r="AJ79" s="1138"/>
      <c r="AK79" s="1138"/>
      <c r="AL79" s="1138"/>
      <c r="AM79" s="1138"/>
      <c r="AN79" s="1138"/>
      <c r="AO79" s="1138"/>
      <c r="AP79" s="1138"/>
      <c r="AQ79" s="1138"/>
      <c r="AR79" s="1138"/>
      <c r="AS79" s="1138"/>
      <c r="AT79" s="1138"/>
      <c r="AU79" s="1138"/>
      <c r="AV79" s="1138"/>
      <c r="AW79" s="1138"/>
      <c r="AX79" s="1138"/>
      <c r="AY79" s="1139"/>
    </row>
    <row r="80" spans="1:51" x14ac:dyDescent="0.35">
      <c r="A80" s="1114" t="s">
        <v>4315</v>
      </c>
      <c r="B80" s="1135"/>
      <c r="C80" s="1135"/>
      <c r="D80" s="1135"/>
      <c r="E80" s="1135"/>
      <c r="F80" s="1135"/>
      <c r="G80" s="1135"/>
      <c r="H80" s="1135"/>
      <c r="I80" s="1135"/>
      <c r="J80" s="1135"/>
      <c r="K80" s="1135"/>
      <c r="L80" s="1135"/>
      <c r="M80" s="1135"/>
      <c r="N80" s="1135"/>
      <c r="O80" s="1135"/>
      <c r="P80" s="1135"/>
      <c r="Q80" s="1135"/>
      <c r="R80" s="1135"/>
      <c r="S80" s="1135"/>
      <c r="T80" s="1135"/>
      <c r="U80" s="1135"/>
      <c r="V80" s="1135"/>
      <c r="W80" s="1135"/>
      <c r="X80" s="1135"/>
      <c r="Y80" s="1135"/>
      <c r="Z80" s="1135"/>
      <c r="AA80" s="1135"/>
      <c r="AB80" s="1135"/>
      <c r="AC80" s="1135"/>
      <c r="AD80" s="1135"/>
      <c r="AE80" s="1135"/>
      <c r="AF80" s="1135"/>
      <c r="AG80" s="1135"/>
      <c r="AH80" s="1135"/>
      <c r="AI80" s="1135"/>
      <c r="AJ80" s="1135"/>
      <c r="AK80" s="1135"/>
      <c r="AL80" s="1135"/>
      <c r="AM80" s="1135"/>
      <c r="AN80" s="1135"/>
      <c r="AO80" s="1135"/>
      <c r="AP80" s="1135"/>
      <c r="AQ80" s="1135"/>
      <c r="AR80" s="1135"/>
      <c r="AS80" s="1135"/>
      <c r="AT80" s="1135"/>
      <c r="AU80" s="1135"/>
      <c r="AV80" s="1135"/>
      <c r="AW80" s="1135"/>
      <c r="AX80" s="1135"/>
      <c r="AY80" s="1136"/>
    </row>
    <row r="81" spans="1:51" x14ac:dyDescent="0.35">
      <c r="A81" s="1115" t="s">
        <v>3891</v>
      </c>
      <c r="B81" s="1116"/>
      <c r="C81" s="1116"/>
      <c r="D81" s="1116"/>
      <c r="E81" s="1116"/>
      <c r="F81" s="1116"/>
      <c r="G81" s="1116"/>
      <c r="H81" s="1116"/>
      <c r="I81" s="1116"/>
      <c r="J81" s="1116"/>
      <c r="K81" s="1116"/>
      <c r="L81" s="1116"/>
      <c r="M81" s="1116"/>
      <c r="N81" s="1116"/>
      <c r="O81" s="1116"/>
      <c r="P81" s="1116"/>
      <c r="Q81" s="1116"/>
      <c r="R81" s="1116"/>
      <c r="S81" s="1116"/>
      <c r="T81" s="1116"/>
      <c r="U81" s="1116"/>
      <c r="V81" s="1116"/>
      <c r="W81" s="1116"/>
      <c r="X81" s="1116"/>
      <c r="Y81" s="1116"/>
      <c r="Z81" s="1116"/>
      <c r="AA81" s="1116"/>
      <c r="AB81" s="1116"/>
      <c r="AC81" s="1116"/>
      <c r="AD81" s="1116"/>
      <c r="AE81" s="1116"/>
      <c r="AF81" s="1116"/>
      <c r="AG81" s="1116"/>
      <c r="AH81" s="1116"/>
      <c r="AI81" s="1116"/>
      <c r="AJ81" s="1116"/>
      <c r="AK81" s="1116"/>
      <c r="AL81" s="1116"/>
      <c r="AM81" s="1116"/>
      <c r="AN81" s="1116"/>
      <c r="AO81" s="1116"/>
      <c r="AP81" s="1116"/>
      <c r="AQ81" s="1116"/>
      <c r="AR81" s="1116"/>
      <c r="AS81" s="1116"/>
      <c r="AT81" s="1116"/>
      <c r="AU81" s="1116"/>
      <c r="AV81" s="1116"/>
      <c r="AW81" s="1116"/>
      <c r="AX81" s="1116"/>
      <c r="AY81" s="1117"/>
    </row>
    <row r="82" spans="1:51" x14ac:dyDescent="0.35">
      <c r="A82" s="1102" t="s">
        <v>4316</v>
      </c>
      <c r="B82" s="1103"/>
      <c r="C82" s="1103"/>
      <c r="D82" s="1103"/>
      <c r="E82" s="1103"/>
      <c r="F82" s="1103"/>
      <c r="G82" s="1103"/>
      <c r="H82" s="1103"/>
      <c r="I82" s="1103"/>
      <c r="J82" s="1103"/>
      <c r="K82" s="1103"/>
      <c r="L82" s="1103"/>
      <c r="M82" s="1103"/>
      <c r="N82" s="1103"/>
      <c r="O82" s="1103"/>
      <c r="P82" s="1103"/>
      <c r="Q82" s="1103"/>
      <c r="R82" s="1103"/>
      <c r="S82" s="1103"/>
      <c r="T82" s="1103"/>
      <c r="U82" s="1103"/>
      <c r="V82" s="1103"/>
      <c r="W82" s="1103"/>
      <c r="X82" s="1103"/>
      <c r="Y82" s="1103"/>
      <c r="Z82" s="1103"/>
      <c r="AA82" s="1103"/>
      <c r="AB82" s="1103"/>
      <c r="AC82" s="1103"/>
      <c r="AD82" s="1103"/>
      <c r="AE82" s="1103"/>
      <c r="AF82" s="1103"/>
      <c r="AG82" s="1103"/>
      <c r="AH82" s="1103"/>
      <c r="AI82" s="1103"/>
      <c r="AJ82" s="1103"/>
      <c r="AK82" s="1103"/>
      <c r="AL82" s="1103"/>
      <c r="AM82" s="1103"/>
      <c r="AN82" s="1103"/>
      <c r="AO82" s="1103"/>
      <c r="AP82" s="1103"/>
      <c r="AQ82" s="1103"/>
      <c r="AR82" s="1103"/>
      <c r="AS82" s="1103"/>
      <c r="AT82" s="1103"/>
      <c r="AU82" s="1103"/>
      <c r="AV82" s="1103"/>
      <c r="AW82" s="1103"/>
      <c r="AX82" s="1103"/>
      <c r="AY82" s="1104"/>
    </row>
    <row r="83" spans="1:51" x14ac:dyDescent="0.35">
      <c r="A83" s="1105" t="s">
        <v>4317</v>
      </c>
      <c r="B83" s="1121"/>
      <c r="C83" s="1121"/>
      <c r="D83" s="1121"/>
      <c r="E83" s="1121"/>
      <c r="F83" s="1121"/>
      <c r="G83" s="1121"/>
      <c r="H83" s="1121"/>
      <c r="I83" s="1121"/>
      <c r="J83" s="1121"/>
      <c r="K83" s="1121"/>
      <c r="L83" s="1121"/>
      <c r="M83" s="1121"/>
      <c r="N83" s="1121"/>
      <c r="O83" s="1121"/>
      <c r="P83" s="1121"/>
      <c r="Q83" s="1121"/>
      <c r="R83" s="1121"/>
      <c r="S83" s="1121"/>
      <c r="T83" s="1121"/>
      <c r="U83" s="1121"/>
      <c r="V83" s="1121"/>
      <c r="W83" s="1121"/>
      <c r="X83" s="1121"/>
      <c r="Y83" s="1121"/>
      <c r="Z83" s="1121"/>
      <c r="AA83" s="1121"/>
      <c r="AB83" s="1121"/>
      <c r="AC83" s="1121"/>
      <c r="AD83" s="1121"/>
      <c r="AE83" s="1121"/>
      <c r="AF83" s="1121"/>
      <c r="AG83" s="1121"/>
      <c r="AH83" s="1121"/>
      <c r="AI83" s="1121"/>
      <c r="AJ83" s="1121"/>
      <c r="AK83" s="1121"/>
      <c r="AL83" s="1121"/>
      <c r="AM83" s="1121"/>
      <c r="AN83" s="1121"/>
      <c r="AO83" s="1121"/>
      <c r="AP83" s="1121"/>
      <c r="AQ83" s="1121"/>
      <c r="AR83" s="1121"/>
      <c r="AS83" s="1121"/>
      <c r="AT83" s="1121"/>
      <c r="AU83" s="1121"/>
      <c r="AV83" s="1121"/>
      <c r="AW83" s="1121"/>
      <c r="AX83" s="1121"/>
      <c r="AY83" s="1122"/>
    </row>
    <row r="84" spans="1:51" x14ac:dyDescent="0.35">
      <c r="A84" s="386" t="s">
        <v>4318</v>
      </c>
      <c r="B84" s="315"/>
      <c r="C84" s="315"/>
      <c r="D84" s="315"/>
      <c r="E84" s="315"/>
      <c r="F84" s="315"/>
      <c r="G84" s="315"/>
      <c r="H84" s="315"/>
      <c r="I84" s="315"/>
      <c r="J84" s="315"/>
      <c r="K84" s="315"/>
      <c r="L84" s="315"/>
      <c r="M84" s="315"/>
      <c r="N84" s="315"/>
      <c r="O84" s="315"/>
      <c r="P84" s="315"/>
      <c r="Q84" s="315"/>
      <c r="R84" s="315"/>
      <c r="S84" s="315"/>
      <c r="T84" s="315"/>
      <c r="U84" s="315"/>
      <c r="V84" s="315"/>
      <c r="W84" s="315"/>
      <c r="X84" s="315"/>
      <c r="Y84" s="315"/>
      <c r="Z84" s="315"/>
      <c r="AA84" s="315"/>
      <c r="AB84" s="315"/>
      <c r="AC84" s="315"/>
      <c r="AD84" s="315"/>
      <c r="AE84" s="315"/>
      <c r="AF84" s="315"/>
      <c r="AG84" s="315"/>
      <c r="AH84" s="315"/>
      <c r="AI84" s="315"/>
      <c r="AJ84" s="315"/>
      <c r="AK84" s="315"/>
      <c r="AL84" s="315"/>
      <c r="AM84" s="315"/>
      <c r="AN84" s="315"/>
      <c r="AO84" s="315"/>
      <c r="AP84" s="315"/>
      <c r="AQ84" s="315"/>
      <c r="AR84" s="315"/>
      <c r="AS84" s="315"/>
      <c r="AT84" s="315"/>
      <c r="AU84" s="315"/>
      <c r="AV84" s="315"/>
      <c r="AW84" s="315"/>
      <c r="AX84" s="315"/>
      <c r="AY84" s="316"/>
    </row>
    <row r="85" spans="1:51" x14ac:dyDescent="0.35">
      <c r="A85" s="1114" t="s">
        <v>4319</v>
      </c>
      <c r="B85" s="1109"/>
      <c r="C85" s="1109"/>
      <c r="D85" s="1109"/>
      <c r="E85" s="1109"/>
      <c r="F85" s="1109"/>
      <c r="G85" s="1109"/>
      <c r="H85" s="1109"/>
      <c r="I85" s="1109"/>
      <c r="J85" s="1109"/>
      <c r="K85" s="1109"/>
      <c r="L85" s="1109"/>
      <c r="M85" s="1109"/>
      <c r="N85" s="1109"/>
      <c r="O85" s="1109"/>
      <c r="P85" s="1109"/>
      <c r="Q85" s="1109"/>
      <c r="R85" s="1109"/>
      <c r="S85" s="1109"/>
      <c r="T85" s="1109"/>
      <c r="U85" s="1109"/>
      <c r="V85" s="1109"/>
      <c r="W85" s="1109"/>
      <c r="X85" s="1109"/>
      <c r="Y85" s="1109"/>
      <c r="Z85" s="1109"/>
      <c r="AA85" s="1109"/>
      <c r="AB85" s="1109"/>
      <c r="AC85" s="1109"/>
      <c r="AD85" s="1109"/>
      <c r="AE85" s="1109"/>
      <c r="AF85" s="1109"/>
      <c r="AG85" s="1109"/>
      <c r="AH85" s="1109"/>
      <c r="AI85" s="1109"/>
      <c r="AJ85" s="1109"/>
      <c r="AK85" s="1109"/>
      <c r="AL85" s="1109"/>
      <c r="AM85" s="1109"/>
      <c r="AN85" s="1109"/>
      <c r="AO85" s="1109"/>
      <c r="AP85" s="1109"/>
      <c r="AQ85" s="1109"/>
      <c r="AR85" s="1109"/>
      <c r="AS85" s="1109"/>
      <c r="AT85" s="1109"/>
      <c r="AU85" s="1109"/>
      <c r="AV85" s="1109"/>
      <c r="AW85" s="1109"/>
      <c r="AX85" s="1109"/>
      <c r="AY85" s="1110"/>
    </row>
    <row r="86" spans="1:51" x14ac:dyDescent="0.35">
      <c r="A86" s="1115" t="s">
        <v>3892</v>
      </c>
      <c r="B86" s="1116"/>
      <c r="C86" s="1116"/>
      <c r="D86" s="1116"/>
      <c r="E86" s="1116"/>
      <c r="F86" s="1116"/>
      <c r="G86" s="1116"/>
      <c r="H86" s="1116"/>
      <c r="I86" s="1116"/>
      <c r="J86" s="1116"/>
      <c r="K86" s="1116"/>
      <c r="L86" s="1116"/>
      <c r="M86" s="1116"/>
      <c r="N86" s="1116"/>
      <c r="O86" s="1116"/>
      <c r="P86" s="1116"/>
      <c r="Q86" s="1116"/>
      <c r="R86" s="1116"/>
      <c r="S86" s="1116"/>
      <c r="T86" s="1116"/>
      <c r="U86" s="1116"/>
      <c r="V86" s="1116"/>
      <c r="W86" s="1116"/>
      <c r="X86" s="1116"/>
      <c r="Y86" s="1116"/>
      <c r="Z86" s="1116"/>
      <c r="AA86" s="1116"/>
      <c r="AB86" s="1116"/>
      <c r="AC86" s="1116"/>
      <c r="AD86" s="1116"/>
      <c r="AE86" s="1116"/>
      <c r="AF86" s="1116"/>
      <c r="AG86" s="1116"/>
      <c r="AH86" s="1116"/>
      <c r="AI86" s="1116"/>
      <c r="AJ86" s="1116"/>
      <c r="AK86" s="1116"/>
      <c r="AL86" s="1116"/>
      <c r="AM86" s="1116"/>
      <c r="AN86" s="1116"/>
      <c r="AO86" s="1116"/>
      <c r="AP86" s="1116"/>
      <c r="AQ86" s="1116"/>
      <c r="AR86" s="1116"/>
      <c r="AS86" s="1116"/>
      <c r="AT86" s="1116"/>
      <c r="AU86" s="1116"/>
      <c r="AV86" s="1116"/>
      <c r="AW86" s="1116"/>
      <c r="AX86" s="1116"/>
      <c r="AY86" s="1117"/>
    </row>
    <row r="87" spans="1:51" x14ac:dyDescent="0.35">
      <c r="A87" s="1118" t="s">
        <v>4845</v>
      </c>
      <c r="B87" s="1119"/>
      <c r="C87" s="1119"/>
      <c r="D87" s="1119"/>
      <c r="E87" s="1119"/>
      <c r="F87" s="1119"/>
      <c r="G87" s="1119"/>
      <c r="H87" s="1119"/>
      <c r="I87" s="1119"/>
      <c r="J87" s="1119"/>
      <c r="K87" s="1119"/>
      <c r="L87" s="1119"/>
      <c r="M87" s="1119"/>
      <c r="N87" s="1119"/>
      <c r="O87" s="1119"/>
      <c r="P87" s="1119"/>
      <c r="Q87" s="1119"/>
      <c r="R87" s="1119"/>
      <c r="S87" s="1119"/>
      <c r="T87" s="1119"/>
      <c r="U87" s="1119"/>
      <c r="V87" s="1119"/>
      <c r="W87" s="1119"/>
      <c r="X87" s="1119"/>
      <c r="Y87" s="1119"/>
      <c r="Z87" s="1119"/>
      <c r="AA87" s="1119"/>
      <c r="AB87" s="1119"/>
      <c r="AC87" s="1119"/>
      <c r="AD87" s="1119"/>
      <c r="AE87" s="1119"/>
      <c r="AF87" s="1119"/>
      <c r="AG87" s="1119"/>
      <c r="AH87" s="1119"/>
      <c r="AI87" s="1119"/>
      <c r="AJ87" s="1119"/>
      <c r="AK87" s="1119"/>
      <c r="AL87" s="1119"/>
      <c r="AM87" s="1119"/>
      <c r="AN87" s="1119"/>
      <c r="AO87" s="1119"/>
      <c r="AP87" s="1119"/>
      <c r="AQ87" s="1119"/>
      <c r="AR87" s="1119"/>
      <c r="AS87" s="1119"/>
      <c r="AT87" s="1119"/>
      <c r="AU87" s="1119"/>
      <c r="AV87" s="1119"/>
      <c r="AW87" s="1119"/>
      <c r="AX87" s="1119"/>
      <c r="AY87" s="1120"/>
    </row>
    <row r="88" spans="1:51" x14ac:dyDescent="0.35">
      <c r="A88" s="1105" t="s">
        <v>4320</v>
      </c>
      <c r="B88" s="1106"/>
      <c r="C88" s="1106"/>
      <c r="D88" s="1106"/>
      <c r="E88" s="1106"/>
      <c r="F88" s="1106"/>
      <c r="G88" s="1106"/>
      <c r="H88" s="1106"/>
      <c r="I88" s="1106"/>
      <c r="J88" s="1106"/>
      <c r="K88" s="1106"/>
      <c r="L88" s="1106"/>
      <c r="M88" s="1106"/>
      <c r="N88" s="1106"/>
      <c r="O88" s="1106"/>
      <c r="P88" s="1106"/>
      <c r="Q88" s="1106"/>
      <c r="R88" s="1106"/>
      <c r="S88" s="1106"/>
      <c r="T88" s="1106"/>
      <c r="U88" s="1106"/>
      <c r="V88" s="1106"/>
      <c r="W88" s="1106"/>
      <c r="X88" s="1106"/>
      <c r="Y88" s="1106"/>
      <c r="Z88" s="1106"/>
      <c r="AA88" s="1106"/>
      <c r="AB88" s="1106"/>
      <c r="AC88" s="1106"/>
      <c r="AD88" s="1106"/>
      <c r="AE88" s="1106"/>
      <c r="AF88" s="1106"/>
      <c r="AG88" s="1106"/>
      <c r="AH88" s="1106"/>
      <c r="AI88" s="1106"/>
      <c r="AJ88" s="1106"/>
      <c r="AK88" s="1106"/>
      <c r="AL88" s="1106"/>
      <c r="AM88" s="1106"/>
      <c r="AN88" s="1106"/>
      <c r="AO88" s="1106"/>
      <c r="AP88" s="1106"/>
      <c r="AQ88" s="1106"/>
      <c r="AR88" s="1106"/>
      <c r="AS88" s="1106"/>
      <c r="AT88" s="1106"/>
      <c r="AU88" s="1106"/>
      <c r="AV88" s="1106"/>
      <c r="AW88" s="1106"/>
      <c r="AX88" s="1106"/>
      <c r="AY88" s="1107"/>
    </row>
    <row r="89" spans="1:51" x14ac:dyDescent="0.35">
      <c r="A89" s="1102" t="s">
        <v>4321</v>
      </c>
      <c r="B89" s="1103"/>
      <c r="C89" s="1103"/>
      <c r="D89" s="1103"/>
      <c r="E89" s="1103"/>
      <c r="F89" s="1103"/>
      <c r="G89" s="1103"/>
      <c r="H89" s="1103"/>
      <c r="I89" s="1103"/>
      <c r="J89" s="1103"/>
      <c r="K89" s="1103"/>
      <c r="L89" s="1103"/>
      <c r="M89" s="1103"/>
      <c r="N89" s="1103"/>
      <c r="O89" s="1103"/>
      <c r="P89" s="1103"/>
      <c r="Q89" s="1103"/>
      <c r="R89" s="1103"/>
      <c r="S89" s="1103"/>
      <c r="T89" s="1103"/>
      <c r="U89" s="1103"/>
      <c r="V89" s="1103"/>
      <c r="W89" s="1103"/>
      <c r="X89" s="1103"/>
      <c r="Y89" s="1103"/>
      <c r="Z89" s="1103"/>
      <c r="AA89" s="1103"/>
      <c r="AB89" s="1103"/>
      <c r="AC89" s="1103"/>
      <c r="AD89" s="1103"/>
      <c r="AE89" s="1103"/>
      <c r="AF89" s="1103"/>
      <c r="AG89" s="1103"/>
      <c r="AH89" s="1103"/>
      <c r="AI89" s="1103"/>
      <c r="AJ89" s="1103"/>
      <c r="AK89" s="1103"/>
      <c r="AL89" s="1103"/>
      <c r="AM89" s="1103"/>
      <c r="AN89" s="1103"/>
      <c r="AO89" s="1103"/>
      <c r="AP89" s="1103"/>
      <c r="AQ89" s="1103"/>
      <c r="AR89" s="1103"/>
      <c r="AS89" s="1103"/>
      <c r="AT89" s="1103"/>
      <c r="AU89" s="1103"/>
      <c r="AV89" s="1103"/>
      <c r="AW89" s="1103"/>
      <c r="AX89" s="1103"/>
      <c r="AY89" s="1104"/>
    </row>
    <row r="90" spans="1:51" x14ac:dyDescent="0.35">
      <c r="A90" s="1105" t="s">
        <v>4322</v>
      </c>
      <c r="B90" s="1106"/>
      <c r="C90" s="1106"/>
      <c r="D90" s="1106"/>
      <c r="E90" s="1106"/>
      <c r="F90" s="1106"/>
      <c r="G90" s="1106"/>
      <c r="H90" s="1106"/>
      <c r="I90" s="1106"/>
      <c r="J90" s="1106"/>
      <c r="K90" s="1106"/>
      <c r="L90" s="1106"/>
      <c r="M90" s="1106"/>
      <c r="N90" s="1106"/>
      <c r="O90" s="1106"/>
      <c r="P90" s="1106"/>
      <c r="Q90" s="1106"/>
      <c r="R90" s="1106"/>
      <c r="S90" s="1106"/>
      <c r="T90" s="1106"/>
      <c r="U90" s="1106"/>
      <c r="V90" s="1106"/>
      <c r="W90" s="1106"/>
      <c r="X90" s="1106"/>
      <c r="Y90" s="1106"/>
      <c r="Z90" s="1106"/>
      <c r="AA90" s="1106"/>
      <c r="AB90" s="1106"/>
      <c r="AC90" s="1106"/>
      <c r="AD90" s="1106"/>
      <c r="AE90" s="1106"/>
      <c r="AF90" s="1106"/>
      <c r="AG90" s="1106"/>
      <c r="AH90" s="1106"/>
      <c r="AI90" s="1106"/>
      <c r="AJ90" s="1106"/>
      <c r="AK90" s="1106"/>
      <c r="AL90" s="1106"/>
      <c r="AM90" s="1106"/>
      <c r="AN90" s="1106"/>
      <c r="AO90" s="1106"/>
      <c r="AP90" s="1106"/>
      <c r="AQ90" s="1106"/>
      <c r="AR90" s="1106"/>
      <c r="AS90" s="1106"/>
      <c r="AT90" s="1106"/>
      <c r="AU90" s="1106"/>
      <c r="AV90" s="1106"/>
      <c r="AW90" s="1106"/>
      <c r="AX90" s="1106"/>
      <c r="AY90" s="1107"/>
    </row>
    <row r="91" spans="1:51" x14ac:dyDescent="0.35">
      <c r="A91" s="1102" t="s">
        <v>4323</v>
      </c>
      <c r="B91" s="1103"/>
      <c r="C91" s="1103"/>
      <c r="D91" s="1103"/>
      <c r="E91" s="1103"/>
      <c r="F91" s="1103"/>
      <c r="G91" s="1103"/>
      <c r="H91" s="1103"/>
      <c r="I91" s="1103"/>
      <c r="J91" s="1103"/>
      <c r="K91" s="1103"/>
      <c r="L91" s="1103"/>
      <c r="M91" s="1103"/>
      <c r="N91" s="1103"/>
      <c r="O91" s="1103"/>
      <c r="P91" s="1103"/>
      <c r="Q91" s="1103"/>
      <c r="R91" s="1103"/>
      <c r="S91" s="1103"/>
      <c r="T91" s="1103"/>
      <c r="U91" s="1103"/>
      <c r="V91" s="1103"/>
      <c r="W91" s="1103"/>
      <c r="X91" s="1103"/>
      <c r="Y91" s="1103"/>
      <c r="Z91" s="1103"/>
      <c r="AA91" s="1103"/>
      <c r="AB91" s="1103"/>
      <c r="AC91" s="1103"/>
      <c r="AD91" s="1103"/>
      <c r="AE91" s="1103"/>
      <c r="AF91" s="1103"/>
      <c r="AG91" s="1103"/>
      <c r="AH91" s="1103"/>
      <c r="AI91" s="1103"/>
      <c r="AJ91" s="1103"/>
      <c r="AK91" s="1103"/>
      <c r="AL91" s="1103"/>
      <c r="AM91" s="1103"/>
      <c r="AN91" s="1103"/>
      <c r="AO91" s="1103"/>
      <c r="AP91" s="1103"/>
      <c r="AQ91" s="1103"/>
      <c r="AR91" s="1103"/>
      <c r="AS91" s="1103"/>
      <c r="AT91" s="1103"/>
      <c r="AU91" s="1103"/>
      <c r="AV91" s="1103"/>
      <c r="AW91" s="1103"/>
      <c r="AX91" s="1103"/>
      <c r="AY91" s="1104"/>
    </row>
    <row r="92" spans="1:51" x14ac:dyDescent="0.35">
      <c r="A92" s="1105" t="s">
        <v>4324</v>
      </c>
      <c r="B92" s="1106"/>
      <c r="C92" s="1106"/>
      <c r="D92" s="1106"/>
      <c r="E92" s="1106"/>
      <c r="F92" s="1106"/>
      <c r="G92" s="1106"/>
      <c r="H92" s="1106"/>
      <c r="I92" s="1106"/>
      <c r="J92" s="1106"/>
      <c r="K92" s="1106"/>
      <c r="L92" s="1106"/>
      <c r="M92" s="1106"/>
      <c r="N92" s="1106"/>
      <c r="O92" s="1106"/>
      <c r="P92" s="1106"/>
      <c r="Q92" s="1106"/>
      <c r="R92" s="1106"/>
      <c r="S92" s="1106"/>
      <c r="T92" s="1106"/>
      <c r="U92" s="1106"/>
      <c r="V92" s="1106"/>
      <c r="W92" s="1106"/>
      <c r="X92" s="1106"/>
      <c r="Y92" s="1106"/>
      <c r="Z92" s="1106"/>
      <c r="AA92" s="1106"/>
      <c r="AB92" s="1106"/>
      <c r="AC92" s="1106"/>
      <c r="AD92" s="1106"/>
      <c r="AE92" s="1106"/>
      <c r="AF92" s="1106"/>
      <c r="AG92" s="1106"/>
      <c r="AH92" s="1106"/>
      <c r="AI92" s="1106"/>
      <c r="AJ92" s="1106"/>
      <c r="AK92" s="1106"/>
      <c r="AL92" s="1106"/>
      <c r="AM92" s="1106"/>
      <c r="AN92" s="1106"/>
      <c r="AO92" s="1106"/>
      <c r="AP92" s="1106"/>
      <c r="AQ92" s="1106"/>
      <c r="AR92" s="1106"/>
      <c r="AS92" s="1106"/>
      <c r="AT92" s="1106"/>
      <c r="AU92" s="1106"/>
      <c r="AV92" s="1106"/>
      <c r="AW92" s="1106"/>
      <c r="AX92" s="1106"/>
      <c r="AY92" s="1107"/>
    </row>
    <row r="93" spans="1:51" x14ac:dyDescent="0.35">
      <c r="A93" s="1102" t="s">
        <v>4325</v>
      </c>
      <c r="B93" s="1103"/>
      <c r="C93" s="1103"/>
      <c r="D93" s="1103"/>
      <c r="E93" s="1103"/>
      <c r="F93" s="1103"/>
      <c r="G93" s="1103"/>
      <c r="H93" s="1103"/>
      <c r="I93" s="1103"/>
      <c r="J93" s="1103"/>
      <c r="K93" s="1103"/>
      <c r="L93" s="1103"/>
      <c r="M93" s="1103"/>
      <c r="N93" s="1103"/>
      <c r="O93" s="1103"/>
      <c r="P93" s="1103"/>
      <c r="Q93" s="1103"/>
      <c r="R93" s="1103"/>
      <c r="S93" s="1103"/>
      <c r="T93" s="1103"/>
      <c r="U93" s="1103"/>
      <c r="V93" s="1103"/>
      <c r="W93" s="1103"/>
      <c r="X93" s="1103"/>
      <c r="Y93" s="1103"/>
      <c r="Z93" s="1103"/>
      <c r="AA93" s="1103"/>
      <c r="AB93" s="1103"/>
      <c r="AC93" s="1103"/>
      <c r="AD93" s="1103"/>
      <c r="AE93" s="1103"/>
      <c r="AF93" s="1103"/>
      <c r="AG93" s="1103"/>
      <c r="AH93" s="1103"/>
      <c r="AI93" s="1103"/>
      <c r="AJ93" s="1103"/>
      <c r="AK93" s="1103"/>
      <c r="AL93" s="1103"/>
      <c r="AM93" s="1103"/>
      <c r="AN93" s="1103"/>
      <c r="AO93" s="1103"/>
      <c r="AP93" s="1103"/>
      <c r="AQ93" s="1103"/>
      <c r="AR93" s="1103"/>
      <c r="AS93" s="1103"/>
      <c r="AT93" s="1103"/>
      <c r="AU93" s="1103"/>
      <c r="AV93" s="1103"/>
      <c r="AW93" s="1103"/>
      <c r="AX93" s="1103"/>
      <c r="AY93" s="1104"/>
    </row>
    <row r="94" spans="1:51" x14ac:dyDescent="0.35">
      <c r="A94" s="1105" t="s">
        <v>4326</v>
      </c>
      <c r="B94" s="1106"/>
      <c r="C94" s="1106"/>
      <c r="D94" s="1106"/>
      <c r="E94" s="1106"/>
      <c r="F94" s="1106"/>
      <c r="G94" s="1106"/>
      <c r="H94" s="1106"/>
      <c r="I94" s="1106"/>
      <c r="J94" s="1106"/>
      <c r="K94" s="1106"/>
      <c r="L94" s="1106"/>
      <c r="M94" s="1106"/>
      <c r="N94" s="1106"/>
      <c r="O94" s="1106"/>
      <c r="P94" s="1106"/>
      <c r="Q94" s="1106"/>
      <c r="R94" s="1106"/>
      <c r="S94" s="1106"/>
      <c r="T94" s="1106"/>
      <c r="U94" s="1106"/>
      <c r="V94" s="1106"/>
      <c r="W94" s="1106"/>
      <c r="X94" s="1106"/>
      <c r="Y94" s="1106"/>
      <c r="Z94" s="1106"/>
      <c r="AA94" s="1106"/>
      <c r="AB94" s="1106"/>
      <c r="AC94" s="1106"/>
      <c r="AD94" s="1106"/>
      <c r="AE94" s="1106"/>
      <c r="AF94" s="1106"/>
      <c r="AG94" s="1106"/>
      <c r="AH94" s="1106"/>
      <c r="AI94" s="1106"/>
      <c r="AJ94" s="1106"/>
      <c r="AK94" s="1106"/>
      <c r="AL94" s="1106"/>
      <c r="AM94" s="1106"/>
      <c r="AN94" s="1106"/>
      <c r="AO94" s="1106"/>
      <c r="AP94" s="1106"/>
      <c r="AQ94" s="1106"/>
      <c r="AR94" s="1106"/>
      <c r="AS94" s="1106"/>
      <c r="AT94" s="1106"/>
      <c r="AU94" s="1106"/>
      <c r="AV94" s="1106"/>
      <c r="AW94" s="1106"/>
      <c r="AX94" s="1106"/>
      <c r="AY94" s="1107"/>
    </row>
    <row r="95" spans="1:51" x14ac:dyDescent="0.35">
      <c r="A95" s="1102" t="s">
        <v>4846</v>
      </c>
      <c r="B95" s="1103"/>
      <c r="C95" s="1103"/>
      <c r="D95" s="1103"/>
      <c r="E95" s="1103"/>
      <c r="F95" s="1103"/>
      <c r="G95" s="1103"/>
      <c r="H95" s="1103"/>
      <c r="I95" s="1103"/>
      <c r="J95" s="1103"/>
      <c r="K95" s="1103"/>
      <c r="L95" s="1103"/>
      <c r="M95" s="1103"/>
      <c r="N95" s="1103"/>
      <c r="O95" s="1103"/>
      <c r="P95" s="1103"/>
      <c r="Q95" s="1103"/>
      <c r="R95" s="1103"/>
      <c r="S95" s="1103"/>
      <c r="T95" s="1103"/>
      <c r="U95" s="1103"/>
      <c r="V95" s="1103"/>
      <c r="W95" s="1103"/>
      <c r="X95" s="1103"/>
      <c r="Y95" s="1103"/>
      <c r="Z95" s="1103"/>
      <c r="AA95" s="1103"/>
      <c r="AB95" s="1103"/>
      <c r="AC95" s="1103"/>
      <c r="AD95" s="1103"/>
      <c r="AE95" s="1103"/>
      <c r="AF95" s="1103"/>
      <c r="AG95" s="1103"/>
      <c r="AH95" s="1103"/>
      <c r="AI95" s="1103"/>
      <c r="AJ95" s="1103"/>
      <c r="AK95" s="1103"/>
      <c r="AL95" s="1103"/>
      <c r="AM95" s="1103"/>
      <c r="AN95" s="1103"/>
      <c r="AO95" s="1103"/>
      <c r="AP95" s="1103"/>
      <c r="AQ95" s="1103"/>
      <c r="AR95" s="1103"/>
      <c r="AS95" s="1103"/>
      <c r="AT95" s="1103"/>
      <c r="AU95" s="1103"/>
      <c r="AV95" s="1103"/>
      <c r="AW95" s="1103"/>
      <c r="AX95" s="1103"/>
      <c r="AY95" s="1104"/>
    </row>
    <row r="96" spans="1:51" x14ac:dyDescent="0.35">
      <c r="A96" s="1105" t="s">
        <v>4327</v>
      </c>
      <c r="B96" s="1106"/>
      <c r="C96" s="1106"/>
      <c r="D96" s="1106"/>
      <c r="E96" s="1106"/>
      <c r="F96" s="1106"/>
      <c r="G96" s="1106"/>
      <c r="H96" s="1106"/>
      <c r="I96" s="1106"/>
      <c r="J96" s="1106"/>
      <c r="K96" s="1106"/>
      <c r="L96" s="1106"/>
      <c r="M96" s="1106"/>
      <c r="N96" s="1106"/>
      <c r="O96" s="1106"/>
      <c r="P96" s="1106"/>
      <c r="Q96" s="1106"/>
      <c r="R96" s="1106"/>
      <c r="S96" s="1106"/>
      <c r="T96" s="1106"/>
      <c r="U96" s="1106"/>
      <c r="V96" s="1106"/>
      <c r="W96" s="1106"/>
      <c r="X96" s="1106"/>
      <c r="Y96" s="1106"/>
      <c r="Z96" s="1106"/>
      <c r="AA96" s="1106"/>
      <c r="AB96" s="1106"/>
      <c r="AC96" s="1106"/>
      <c r="AD96" s="1106"/>
      <c r="AE96" s="1106"/>
      <c r="AF96" s="1106"/>
      <c r="AG96" s="1106"/>
      <c r="AH96" s="1106"/>
      <c r="AI96" s="1106"/>
      <c r="AJ96" s="1106"/>
      <c r="AK96" s="1106"/>
      <c r="AL96" s="1106"/>
      <c r="AM96" s="1106"/>
      <c r="AN96" s="1106"/>
      <c r="AO96" s="1106"/>
      <c r="AP96" s="1106"/>
      <c r="AQ96" s="1106"/>
      <c r="AR96" s="1106"/>
      <c r="AS96" s="1106"/>
      <c r="AT96" s="1106"/>
      <c r="AU96" s="1106"/>
      <c r="AV96" s="1106"/>
      <c r="AW96" s="1106"/>
      <c r="AX96" s="1106"/>
      <c r="AY96" s="1107"/>
    </row>
    <row r="97" spans="1:51" x14ac:dyDescent="0.35">
      <c r="A97" s="1102" t="s">
        <v>4328</v>
      </c>
      <c r="B97" s="1103"/>
      <c r="C97" s="1103"/>
      <c r="D97" s="1103"/>
      <c r="E97" s="1103"/>
      <c r="F97" s="1103"/>
      <c r="G97" s="1103"/>
      <c r="H97" s="1103"/>
      <c r="I97" s="1103"/>
      <c r="J97" s="1103"/>
      <c r="K97" s="1103"/>
      <c r="L97" s="1103"/>
      <c r="M97" s="1103"/>
      <c r="N97" s="1103"/>
      <c r="O97" s="1103"/>
      <c r="P97" s="1103"/>
      <c r="Q97" s="1103"/>
      <c r="R97" s="1103"/>
      <c r="S97" s="1103"/>
      <c r="T97" s="1103"/>
      <c r="U97" s="1103"/>
      <c r="V97" s="1103"/>
      <c r="W97" s="1103"/>
      <c r="X97" s="1103"/>
      <c r="Y97" s="1103"/>
      <c r="Z97" s="1103"/>
      <c r="AA97" s="1103"/>
      <c r="AB97" s="1103"/>
      <c r="AC97" s="1103"/>
      <c r="AD97" s="1103"/>
      <c r="AE97" s="1103"/>
      <c r="AF97" s="1103"/>
      <c r="AG97" s="1103"/>
      <c r="AH97" s="1103"/>
      <c r="AI97" s="1103"/>
      <c r="AJ97" s="1103"/>
      <c r="AK97" s="1103"/>
      <c r="AL97" s="1103"/>
      <c r="AM97" s="1103"/>
      <c r="AN97" s="1103"/>
      <c r="AO97" s="1103"/>
      <c r="AP97" s="1103"/>
      <c r="AQ97" s="1103"/>
      <c r="AR97" s="1103"/>
      <c r="AS97" s="1103"/>
      <c r="AT97" s="1103"/>
      <c r="AU97" s="1103"/>
      <c r="AV97" s="1103"/>
      <c r="AW97" s="1103"/>
      <c r="AX97" s="1103"/>
      <c r="AY97" s="1104"/>
    </row>
    <row r="98" spans="1:51" x14ac:dyDescent="0.35">
      <c r="A98" s="1105" t="s">
        <v>4329</v>
      </c>
      <c r="B98" s="1106"/>
      <c r="C98" s="1106"/>
      <c r="D98" s="1106"/>
      <c r="E98" s="1106"/>
      <c r="F98" s="1106"/>
      <c r="G98" s="1106"/>
      <c r="H98" s="1106"/>
      <c r="I98" s="1106"/>
      <c r="J98" s="1106"/>
      <c r="K98" s="1106"/>
      <c r="L98" s="1106"/>
      <c r="M98" s="1106"/>
      <c r="N98" s="1106"/>
      <c r="O98" s="1106"/>
      <c r="P98" s="1106"/>
      <c r="Q98" s="1106"/>
      <c r="R98" s="1106"/>
      <c r="S98" s="1106"/>
      <c r="T98" s="1106"/>
      <c r="U98" s="1106"/>
      <c r="V98" s="1106"/>
      <c r="W98" s="1106"/>
      <c r="X98" s="1106"/>
      <c r="Y98" s="1106"/>
      <c r="Z98" s="1106"/>
      <c r="AA98" s="1106"/>
      <c r="AB98" s="1106"/>
      <c r="AC98" s="1106"/>
      <c r="AD98" s="1106"/>
      <c r="AE98" s="1106"/>
      <c r="AF98" s="1106"/>
      <c r="AG98" s="1106"/>
      <c r="AH98" s="1106"/>
      <c r="AI98" s="1106"/>
      <c r="AJ98" s="1106"/>
      <c r="AK98" s="1106"/>
      <c r="AL98" s="1106"/>
      <c r="AM98" s="1106"/>
      <c r="AN98" s="1106"/>
      <c r="AO98" s="1106"/>
      <c r="AP98" s="1106"/>
      <c r="AQ98" s="1106"/>
      <c r="AR98" s="1106"/>
      <c r="AS98" s="1106"/>
      <c r="AT98" s="1106"/>
      <c r="AU98" s="1106"/>
      <c r="AV98" s="1106"/>
      <c r="AW98" s="1106"/>
      <c r="AX98" s="1106"/>
      <c r="AY98" s="1107"/>
    </row>
    <row r="99" spans="1:51" x14ac:dyDescent="0.35">
      <c r="A99" s="1102" t="s">
        <v>4330</v>
      </c>
      <c r="B99" s="1103"/>
      <c r="C99" s="1103"/>
      <c r="D99" s="1103"/>
      <c r="E99" s="1103"/>
      <c r="F99" s="1103"/>
      <c r="G99" s="1103"/>
      <c r="H99" s="1103"/>
      <c r="I99" s="1103"/>
      <c r="J99" s="1103"/>
      <c r="K99" s="1103"/>
      <c r="L99" s="1103"/>
      <c r="M99" s="1103"/>
      <c r="N99" s="1103"/>
      <c r="O99" s="1103"/>
      <c r="P99" s="1103"/>
      <c r="Q99" s="1103"/>
      <c r="R99" s="1103"/>
      <c r="S99" s="1103"/>
      <c r="T99" s="1103"/>
      <c r="U99" s="1103"/>
      <c r="V99" s="1103"/>
      <c r="W99" s="1103"/>
      <c r="X99" s="1103"/>
      <c r="Y99" s="1103"/>
      <c r="Z99" s="1103"/>
      <c r="AA99" s="1103"/>
      <c r="AB99" s="1103"/>
      <c r="AC99" s="1103"/>
      <c r="AD99" s="1103"/>
      <c r="AE99" s="1103"/>
      <c r="AF99" s="1103"/>
      <c r="AG99" s="1103"/>
      <c r="AH99" s="1103"/>
      <c r="AI99" s="1103"/>
      <c r="AJ99" s="1103"/>
      <c r="AK99" s="1103"/>
      <c r="AL99" s="1103"/>
      <c r="AM99" s="1103"/>
      <c r="AN99" s="1103"/>
      <c r="AO99" s="1103"/>
      <c r="AP99" s="1103"/>
      <c r="AQ99" s="1103"/>
      <c r="AR99" s="1103"/>
      <c r="AS99" s="1103"/>
      <c r="AT99" s="1103"/>
      <c r="AU99" s="1103"/>
      <c r="AV99" s="1103"/>
      <c r="AW99" s="1103"/>
      <c r="AX99" s="1103"/>
      <c r="AY99" s="1104"/>
    </row>
    <row r="100" spans="1:51" x14ac:dyDescent="0.35">
      <c r="A100" s="1105" t="s">
        <v>4331</v>
      </c>
      <c r="B100" s="1106"/>
      <c r="C100" s="1106"/>
      <c r="D100" s="1106"/>
      <c r="E100" s="1106"/>
      <c r="F100" s="1106"/>
      <c r="G100" s="1106"/>
      <c r="H100" s="1106"/>
      <c r="I100" s="1106"/>
      <c r="J100" s="1106"/>
      <c r="K100" s="1106"/>
      <c r="L100" s="1106"/>
      <c r="M100" s="1106"/>
      <c r="N100" s="1106"/>
      <c r="O100" s="1106"/>
      <c r="P100" s="1106"/>
      <c r="Q100" s="1106"/>
      <c r="R100" s="1106"/>
      <c r="S100" s="1106"/>
      <c r="T100" s="1106"/>
      <c r="U100" s="1106"/>
      <c r="V100" s="1106"/>
      <c r="W100" s="1106"/>
      <c r="X100" s="1106"/>
      <c r="Y100" s="1106"/>
      <c r="Z100" s="1106"/>
      <c r="AA100" s="1106"/>
      <c r="AB100" s="1106"/>
      <c r="AC100" s="1106"/>
      <c r="AD100" s="1106"/>
      <c r="AE100" s="1106"/>
      <c r="AF100" s="1106"/>
      <c r="AG100" s="1106"/>
      <c r="AH100" s="1106"/>
      <c r="AI100" s="1106"/>
      <c r="AJ100" s="1106"/>
      <c r="AK100" s="1106"/>
      <c r="AL100" s="1106"/>
      <c r="AM100" s="1106"/>
      <c r="AN100" s="1106"/>
      <c r="AO100" s="1106"/>
      <c r="AP100" s="1106"/>
      <c r="AQ100" s="1106"/>
      <c r="AR100" s="1106"/>
      <c r="AS100" s="1106"/>
      <c r="AT100" s="1106"/>
      <c r="AU100" s="1106"/>
      <c r="AV100" s="1106"/>
      <c r="AW100" s="1106"/>
      <c r="AX100" s="1106"/>
      <c r="AY100" s="1107"/>
    </row>
    <row r="101" spans="1:51" x14ac:dyDescent="0.35">
      <c r="A101" s="1102" t="s">
        <v>4332</v>
      </c>
      <c r="B101" s="1103"/>
      <c r="C101" s="1103"/>
      <c r="D101" s="1103"/>
      <c r="E101" s="1103"/>
      <c r="F101" s="1103"/>
      <c r="G101" s="1103"/>
      <c r="H101" s="1103"/>
      <c r="I101" s="1103"/>
      <c r="J101" s="1103"/>
      <c r="K101" s="1103"/>
      <c r="L101" s="1103"/>
      <c r="M101" s="1103"/>
      <c r="N101" s="1103"/>
      <c r="O101" s="1103"/>
      <c r="P101" s="1103"/>
      <c r="Q101" s="1103"/>
      <c r="R101" s="1103"/>
      <c r="S101" s="1103"/>
      <c r="T101" s="1103"/>
      <c r="U101" s="1103"/>
      <c r="V101" s="1103"/>
      <c r="W101" s="1103"/>
      <c r="X101" s="1103"/>
      <c r="Y101" s="1103"/>
      <c r="Z101" s="1103"/>
      <c r="AA101" s="1103"/>
      <c r="AB101" s="1103"/>
      <c r="AC101" s="1103"/>
      <c r="AD101" s="1103"/>
      <c r="AE101" s="1103"/>
      <c r="AF101" s="1103"/>
      <c r="AG101" s="1103"/>
      <c r="AH101" s="1103"/>
      <c r="AI101" s="1103"/>
      <c r="AJ101" s="1103"/>
      <c r="AK101" s="1103"/>
      <c r="AL101" s="1103"/>
      <c r="AM101" s="1103"/>
      <c r="AN101" s="1103"/>
      <c r="AO101" s="1103"/>
      <c r="AP101" s="1103"/>
      <c r="AQ101" s="1103"/>
      <c r="AR101" s="1103"/>
      <c r="AS101" s="1103"/>
      <c r="AT101" s="1103"/>
      <c r="AU101" s="1103"/>
      <c r="AV101" s="1103"/>
      <c r="AW101" s="1103"/>
      <c r="AX101" s="1103"/>
      <c r="AY101" s="1104"/>
    </row>
    <row r="102" spans="1:51" x14ac:dyDescent="0.35">
      <c r="A102" s="1105" t="s">
        <v>4333</v>
      </c>
      <c r="B102" s="1106"/>
      <c r="C102" s="1106"/>
      <c r="D102" s="1106"/>
      <c r="E102" s="1106"/>
      <c r="F102" s="1106"/>
      <c r="G102" s="1106"/>
      <c r="H102" s="1106"/>
      <c r="I102" s="1106"/>
      <c r="J102" s="1106"/>
      <c r="K102" s="1106"/>
      <c r="L102" s="1106"/>
      <c r="M102" s="1106"/>
      <c r="N102" s="1106"/>
      <c r="O102" s="1106"/>
      <c r="P102" s="1106"/>
      <c r="Q102" s="1106"/>
      <c r="R102" s="1106"/>
      <c r="S102" s="1106"/>
      <c r="T102" s="1106"/>
      <c r="U102" s="1106"/>
      <c r="V102" s="1106"/>
      <c r="W102" s="1106"/>
      <c r="X102" s="1106"/>
      <c r="Y102" s="1106"/>
      <c r="Z102" s="1106"/>
      <c r="AA102" s="1106"/>
      <c r="AB102" s="1106"/>
      <c r="AC102" s="1106"/>
      <c r="AD102" s="1106"/>
      <c r="AE102" s="1106"/>
      <c r="AF102" s="1106"/>
      <c r="AG102" s="1106"/>
      <c r="AH102" s="1106"/>
      <c r="AI102" s="1106"/>
      <c r="AJ102" s="1106"/>
      <c r="AK102" s="1106"/>
      <c r="AL102" s="1106"/>
      <c r="AM102" s="1106"/>
      <c r="AN102" s="1106"/>
      <c r="AO102" s="1106"/>
      <c r="AP102" s="1106"/>
      <c r="AQ102" s="1106"/>
      <c r="AR102" s="1106"/>
      <c r="AS102" s="1106"/>
      <c r="AT102" s="1106"/>
      <c r="AU102" s="1106"/>
      <c r="AV102" s="1106"/>
      <c r="AW102" s="1106"/>
      <c r="AX102" s="1106"/>
      <c r="AY102" s="1107"/>
    </row>
    <row r="103" spans="1:51" x14ac:dyDescent="0.35">
      <c r="A103" s="1102" t="s">
        <v>4334</v>
      </c>
      <c r="B103" s="1103"/>
      <c r="C103" s="1103"/>
      <c r="D103" s="1103"/>
      <c r="E103" s="1103"/>
      <c r="F103" s="1103"/>
      <c r="G103" s="1103"/>
      <c r="H103" s="1103"/>
      <c r="I103" s="1103"/>
      <c r="J103" s="1103"/>
      <c r="K103" s="1103"/>
      <c r="L103" s="1103"/>
      <c r="M103" s="1103"/>
      <c r="N103" s="1103"/>
      <c r="O103" s="1103"/>
      <c r="P103" s="1103"/>
      <c r="Q103" s="1103"/>
      <c r="R103" s="1103"/>
      <c r="S103" s="1103"/>
      <c r="T103" s="1103"/>
      <c r="U103" s="1103"/>
      <c r="V103" s="1103"/>
      <c r="W103" s="1103"/>
      <c r="X103" s="1103"/>
      <c r="Y103" s="1103"/>
      <c r="Z103" s="1103"/>
      <c r="AA103" s="1103"/>
      <c r="AB103" s="1103"/>
      <c r="AC103" s="1103"/>
      <c r="AD103" s="1103"/>
      <c r="AE103" s="1103"/>
      <c r="AF103" s="1103"/>
      <c r="AG103" s="1103"/>
      <c r="AH103" s="1103"/>
      <c r="AI103" s="1103"/>
      <c r="AJ103" s="1103"/>
      <c r="AK103" s="1103"/>
      <c r="AL103" s="1103"/>
      <c r="AM103" s="1103"/>
      <c r="AN103" s="1103"/>
      <c r="AO103" s="1103"/>
      <c r="AP103" s="1103"/>
      <c r="AQ103" s="1103"/>
      <c r="AR103" s="1103"/>
      <c r="AS103" s="1103"/>
      <c r="AT103" s="1103"/>
      <c r="AU103" s="1103"/>
      <c r="AV103" s="1103"/>
      <c r="AW103" s="1103"/>
      <c r="AX103" s="1103"/>
      <c r="AY103" s="1104"/>
    </row>
    <row r="104" spans="1:51" x14ac:dyDescent="0.35">
      <c r="A104" s="1105" t="s">
        <v>4335</v>
      </c>
      <c r="B104" s="1106"/>
      <c r="C104" s="1106"/>
      <c r="D104" s="1106"/>
      <c r="E104" s="1106"/>
      <c r="F104" s="1106"/>
      <c r="G104" s="1106"/>
      <c r="H104" s="1106"/>
      <c r="I104" s="1106"/>
      <c r="J104" s="1106"/>
      <c r="K104" s="1106"/>
      <c r="L104" s="1106"/>
      <c r="M104" s="1106"/>
      <c r="N104" s="1106"/>
      <c r="O104" s="1106"/>
      <c r="P104" s="1106"/>
      <c r="Q104" s="1106"/>
      <c r="R104" s="1106"/>
      <c r="S104" s="1106"/>
      <c r="T104" s="1106"/>
      <c r="U104" s="1106"/>
      <c r="V104" s="1106"/>
      <c r="W104" s="1106"/>
      <c r="X104" s="1106"/>
      <c r="Y104" s="1106"/>
      <c r="Z104" s="1106"/>
      <c r="AA104" s="1106"/>
      <c r="AB104" s="1106"/>
      <c r="AC104" s="1106"/>
      <c r="AD104" s="1106"/>
      <c r="AE104" s="1106"/>
      <c r="AF104" s="1106"/>
      <c r="AG104" s="1106"/>
      <c r="AH104" s="1106"/>
      <c r="AI104" s="1106"/>
      <c r="AJ104" s="1106"/>
      <c r="AK104" s="1106"/>
      <c r="AL104" s="1106"/>
      <c r="AM104" s="1106"/>
      <c r="AN104" s="1106"/>
      <c r="AO104" s="1106"/>
      <c r="AP104" s="1106"/>
      <c r="AQ104" s="1106"/>
      <c r="AR104" s="1106"/>
      <c r="AS104" s="1106"/>
      <c r="AT104" s="1106"/>
      <c r="AU104" s="1106"/>
      <c r="AV104" s="1106"/>
      <c r="AW104" s="1106"/>
      <c r="AX104" s="1106"/>
      <c r="AY104" s="1107"/>
    </row>
    <row r="105" spans="1:51" x14ac:dyDescent="0.35">
      <c r="A105" s="1102" t="s">
        <v>4336</v>
      </c>
      <c r="B105" s="1103"/>
      <c r="C105" s="1103"/>
      <c r="D105" s="1103"/>
      <c r="E105" s="1103"/>
      <c r="F105" s="1103"/>
      <c r="G105" s="1103"/>
      <c r="H105" s="1103"/>
      <c r="I105" s="1103"/>
      <c r="J105" s="1103"/>
      <c r="K105" s="1103"/>
      <c r="L105" s="1103"/>
      <c r="M105" s="1103"/>
      <c r="N105" s="1103"/>
      <c r="O105" s="1103"/>
      <c r="P105" s="1103"/>
      <c r="Q105" s="1103"/>
      <c r="R105" s="1103"/>
      <c r="S105" s="1103"/>
      <c r="T105" s="1103"/>
      <c r="U105" s="1103"/>
      <c r="V105" s="1103"/>
      <c r="W105" s="1103"/>
      <c r="X105" s="1103"/>
      <c r="Y105" s="1103"/>
      <c r="Z105" s="1103"/>
      <c r="AA105" s="1103"/>
      <c r="AB105" s="1103"/>
      <c r="AC105" s="1103"/>
      <c r="AD105" s="1103"/>
      <c r="AE105" s="1103"/>
      <c r="AF105" s="1103"/>
      <c r="AG105" s="1103"/>
      <c r="AH105" s="1103"/>
      <c r="AI105" s="1103"/>
      <c r="AJ105" s="1103"/>
      <c r="AK105" s="1103"/>
      <c r="AL105" s="1103"/>
      <c r="AM105" s="1103"/>
      <c r="AN105" s="1103"/>
      <c r="AO105" s="1103"/>
      <c r="AP105" s="1103"/>
      <c r="AQ105" s="1103"/>
      <c r="AR105" s="1103"/>
      <c r="AS105" s="1103"/>
      <c r="AT105" s="1103"/>
      <c r="AU105" s="1103"/>
      <c r="AV105" s="1103"/>
      <c r="AW105" s="1103"/>
      <c r="AX105" s="1103"/>
      <c r="AY105" s="1104"/>
    </row>
    <row r="106" spans="1:51" x14ac:dyDescent="0.35">
      <c r="A106" s="1105" t="s">
        <v>4337</v>
      </c>
      <c r="B106" s="1106"/>
      <c r="C106" s="1106"/>
      <c r="D106" s="1106"/>
      <c r="E106" s="1106"/>
      <c r="F106" s="1106"/>
      <c r="G106" s="1106"/>
      <c r="H106" s="1106"/>
      <c r="I106" s="1106"/>
      <c r="J106" s="1106"/>
      <c r="K106" s="1106"/>
      <c r="L106" s="1106"/>
      <c r="M106" s="1106"/>
      <c r="N106" s="1106"/>
      <c r="O106" s="1106"/>
      <c r="P106" s="1106"/>
      <c r="Q106" s="1106"/>
      <c r="R106" s="1106"/>
      <c r="S106" s="1106"/>
      <c r="T106" s="1106"/>
      <c r="U106" s="1106"/>
      <c r="V106" s="1106"/>
      <c r="W106" s="1106"/>
      <c r="X106" s="1106"/>
      <c r="Y106" s="1106"/>
      <c r="Z106" s="1106"/>
      <c r="AA106" s="1106"/>
      <c r="AB106" s="1106"/>
      <c r="AC106" s="1106"/>
      <c r="AD106" s="1106"/>
      <c r="AE106" s="1106"/>
      <c r="AF106" s="1106"/>
      <c r="AG106" s="1106"/>
      <c r="AH106" s="1106"/>
      <c r="AI106" s="1106"/>
      <c r="AJ106" s="1106"/>
      <c r="AK106" s="1106"/>
      <c r="AL106" s="1106"/>
      <c r="AM106" s="1106"/>
      <c r="AN106" s="1106"/>
      <c r="AO106" s="1106"/>
      <c r="AP106" s="1106"/>
      <c r="AQ106" s="1106"/>
      <c r="AR106" s="1106"/>
      <c r="AS106" s="1106"/>
      <c r="AT106" s="1106"/>
      <c r="AU106" s="1106"/>
      <c r="AV106" s="1106"/>
      <c r="AW106" s="1106"/>
      <c r="AX106" s="1106"/>
      <c r="AY106" s="1107"/>
    </row>
    <row r="107" spans="1:51" x14ac:dyDescent="0.35">
      <c r="A107" s="1108" t="s">
        <v>4338</v>
      </c>
      <c r="B107" s="1109"/>
      <c r="C107" s="1109"/>
      <c r="D107" s="1109"/>
      <c r="E107" s="1109"/>
      <c r="F107" s="1109"/>
      <c r="G107" s="1109"/>
      <c r="H107" s="1109"/>
      <c r="I107" s="1109"/>
      <c r="J107" s="1109"/>
      <c r="K107" s="1109"/>
      <c r="L107" s="1109"/>
      <c r="M107" s="1109"/>
      <c r="N107" s="1109"/>
      <c r="O107" s="1109"/>
      <c r="P107" s="1109"/>
      <c r="Q107" s="1109"/>
      <c r="R107" s="1109"/>
      <c r="S107" s="1109"/>
      <c r="T107" s="1109"/>
      <c r="U107" s="1109"/>
      <c r="V107" s="1109"/>
      <c r="W107" s="1109"/>
      <c r="X107" s="1109"/>
      <c r="Y107" s="1109"/>
      <c r="Z107" s="1109"/>
      <c r="AA107" s="1109"/>
      <c r="AB107" s="1109"/>
      <c r="AC107" s="1109"/>
      <c r="AD107" s="1109"/>
      <c r="AE107" s="1109"/>
      <c r="AF107" s="1109"/>
      <c r="AG107" s="1109"/>
      <c r="AH107" s="1109"/>
      <c r="AI107" s="1109"/>
      <c r="AJ107" s="1109"/>
      <c r="AK107" s="1109"/>
      <c r="AL107" s="1109"/>
      <c r="AM107" s="1109"/>
      <c r="AN107" s="1109"/>
      <c r="AO107" s="1109"/>
      <c r="AP107" s="1109"/>
      <c r="AQ107" s="1109"/>
      <c r="AR107" s="1109"/>
      <c r="AS107" s="1109"/>
      <c r="AT107" s="1109"/>
      <c r="AU107" s="1109"/>
      <c r="AV107" s="1109"/>
      <c r="AW107" s="1109"/>
      <c r="AX107" s="1109"/>
      <c r="AY107" s="1110"/>
    </row>
    <row r="108" spans="1:51" ht="15" thickBot="1" x14ac:dyDescent="0.4">
      <c r="A108" s="1111" t="s">
        <v>4339</v>
      </c>
      <c r="B108" s="1112"/>
      <c r="C108" s="1112"/>
      <c r="D108" s="1112"/>
      <c r="E108" s="1112"/>
      <c r="F108" s="1112"/>
      <c r="G108" s="1112"/>
      <c r="H108" s="1112"/>
      <c r="I108" s="1112"/>
      <c r="J108" s="1112"/>
      <c r="K108" s="1112"/>
      <c r="L108" s="1112"/>
      <c r="M108" s="1112"/>
      <c r="N108" s="1112"/>
      <c r="O108" s="1112"/>
      <c r="P108" s="1112"/>
      <c r="Q108" s="1112"/>
      <c r="R108" s="1112"/>
      <c r="S108" s="1112"/>
      <c r="T108" s="1112"/>
      <c r="U108" s="1112"/>
      <c r="V108" s="1112"/>
      <c r="W108" s="1112"/>
      <c r="X108" s="1112"/>
      <c r="Y108" s="1112"/>
      <c r="Z108" s="1112"/>
      <c r="AA108" s="1112"/>
      <c r="AB108" s="1112"/>
      <c r="AC108" s="1112"/>
      <c r="AD108" s="1112"/>
      <c r="AE108" s="1112"/>
      <c r="AF108" s="1112"/>
      <c r="AG108" s="1112"/>
      <c r="AH108" s="1112"/>
      <c r="AI108" s="1112"/>
      <c r="AJ108" s="1112"/>
      <c r="AK108" s="1112"/>
      <c r="AL108" s="1112"/>
      <c r="AM108" s="1112"/>
      <c r="AN108" s="1112"/>
      <c r="AO108" s="1112"/>
      <c r="AP108" s="1112"/>
      <c r="AQ108" s="1112"/>
      <c r="AR108" s="1112"/>
      <c r="AS108" s="1112"/>
      <c r="AT108" s="1112"/>
      <c r="AU108" s="1112"/>
      <c r="AV108" s="1112"/>
      <c r="AW108" s="1112"/>
      <c r="AX108" s="1112"/>
      <c r="AY108" s="1113"/>
    </row>
  </sheetData>
  <sheetProtection formatColumns="0" formatRows="0" insertRows="0"/>
  <mergeCells count="46">
    <mergeCell ref="A78:AY78"/>
    <mergeCell ref="A77:AY77"/>
    <mergeCell ref="A76:AY76"/>
    <mergeCell ref="A69:AY69"/>
    <mergeCell ref="A70:AY70"/>
    <mergeCell ref="A71:AY71"/>
    <mergeCell ref="A74:AY74"/>
    <mergeCell ref="A75:AY75"/>
    <mergeCell ref="A72:AY72"/>
    <mergeCell ref="A73:AY73"/>
    <mergeCell ref="A83:AY83"/>
    <mergeCell ref="A82:AY82"/>
    <mergeCell ref="A81:AY81"/>
    <mergeCell ref="A80:AY80"/>
    <mergeCell ref="A79:AY79"/>
    <mergeCell ref="A67:AY67"/>
    <mergeCell ref="A68:AY68"/>
    <mergeCell ref="A65:AY65"/>
    <mergeCell ref="A66:AY66"/>
    <mergeCell ref="A62:AY62"/>
    <mergeCell ref="A63:AY63"/>
    <mergeCell ref="A64:AY64"/>
    <mergeCell ref="A85:AY85"/>
    <mergeCell ref="A86:AY86"/>
    <mergeCell ref="A87:AY87"/>
    <mergeCell ref="A88:AY88"/>
    <mergeCell ref="A89:AY89"/>
    <mergeCell ref="A90:AY90"/>
    <mergeCell ref="A91:AY91"/>
    <mergeCell ref="A92:AY92"/>
    <mergeCell ref="A93:AY93"/>
    <mergeCell ref="A94:AY94"/>
    <mergeCell ref="A95:AY95"/>
    <mergeCell ref="A96:AY96"/>
    <mergeCell ref="A97:AY97"/>
    <mergeCell ref="A98:AY98"/>
    <mergeCell ref="A99:AY99"/>
    <mergeCell ref="A105:AY105"/>
    <mergeCell ref="A106:AY106"/>
    <mergeCell ref="A107:AY107"/>
    <mergeCell ref="A108:AY108"/>
    <mergeCell ref="A100:AY100"/>
    <mergeCell ref="A101:AY101"/>
    <mergeCell ref="A102:AY102"/>
    <mergeCell ref="A103:AY103"/>
    <mergeCell ref="A104:AY104"/>
  </mergeCells>
  <conditionalFormatting sqref="A52:A65">
    <cfRule type="expression" dxfId="1" priority="4">
      <formula>OR($B$8="Liquid", $B$8="Gas")</formula>
    </cfRule>
  </conditionalFormatting>
  <conditionalFormatting sqref="B52:F61">
    <cfRule type="expression" dxfId="0" priority="1">
      <formula>OR($B$8="Liquid", $B$8="Gas")</formula>
    </cfRule>
  </conditionalFormatting>
  <dataValidations count="10">
    <dataValidation type="decimal" operator="equal" allowBlank="1" showInputMessage="1" showErrorMessage="1" sqref="D40:D61 C2:C61 E12:E61 D2:D5 E2:E10 D7:D30 D33:D38" xr:uid="{B9E72725-B615-4B6F-B4D3-FFF75C2E5FEF}">
      <formula1>C2</formula1>
    </dataValidation>
    <dataValidation type="decimal" operator="equal" allowBlank="1" showInputMessage="1" showErrorMessage="1" prompt="La densité type est comprise entre 1,01 et 1,06. La valeur type inscrite dans ce tableau représente la moyenne de cette fourchette." sqref="D6" xr:uid="{ACFC4CD2-A7DA-47FC-B178-2418F01E07E6}">
      <formula1>D6</formula1>
    </dataValidation>
    <dataValidation type="decimal" operator="equal" allowBlank="1" showInputMessage="1" showErrorMessage="1" prompt="La densité type est comprise entre 0,45 et 0,50. La valeur type inscrite dans ce tableau représente la moyenne de cette fourchette." sqref="E11" xr:uid="{49A4215D-0EF9-4AD1-81EB-37EF897009E4}">
      <formula1>E11</formula1>
    </dataValidation>
    <dataValidation type="decimal" operator="equal" allowBlank="1" showInputMessage="1" showErrorMessage="1" prompt="La densité type est comprise entre 0,70 et 0,95. La valeur type inscrite dans ce tableau représente la moyenne de cette fourchette." sqref="D39" xr:uid="{0F40A6B8-43E4-4E29-9352-F9E90B5B64BA}">
      <formula1>D39</formula1>
    </dataValidation>
    <dataValidation type="list" allowBlank="1" showInputMessage="1" showErrorMessage="1" sqref="B2:B61" xr:uid="{72EA90A7-FFB4-470E-AE11-EB23E10FD893}">
      <formula1>enum_ListStateOfMatter</formula1>
    </dataValidation>
    <dataValidation type="list" allowBlank="1" showInputMessage="1" showErrorMessage="1" sqref="F2:F61" xr:uid="{3AEA70C2-6B8A-4014-8796-BB574CA63202}">
      <formula1>enum_ListRenewabilityState</formula1>
    </dataValidation>
    <dataValidation allowBlank="1" showInputMessage="1" showErrorMessage="1" prompt="Distillats : distillats de pétrole, distillats de grades 1, 2 et 4." sqref="A13" xr:uid="{521E20DF-4831-42D5-BFB8-EDD263C2D345}"/>
    <dataValidation allowBlank="1" showInputMessage="1" showErrorMessage="1" prompt="Isomères : isobutane et n-butane" sqref="A9" xr:uid="{61769D3C-8375-4DF6-9D6F-B30B72A1112B}"/>
    <dataValidation type="decimal" operator="equal" allowBlank="1" showInputMessage="1" showErrorMessage="1" prompt="La densité type est comprise entre 0,90 et 1,00. La valeur type inscrite dans ce tableau représente la moyenne de cette fourchette." sqref="D31" xr:uid="{822C9C6C-3878-4818-AF32-BF2496F18992}">
      <formula1>D31</formula1>
    </dataValidation>
    <dataValidation type="decimal" operator="equal" allowBlank="1" showInputMessage="1" showErrorMessage="1" prompt="La densité type est comprise entre 1,00 et 1,26. La valeur type inscrite dans ce tableau représente la moyenne de cette fourchette." sqref="D32" xr:uid="{A6BA9200-7D6D-4B93-9104-B0AF279C0588}">
      <formula1>D32</formula1>
    </dataValidation>
  </dataValidations>
  <hyperlinks>
    <hyperlink ref="A64:AY64" r:id="rId1" display="Available at: https://cdn.cdp.net/cdp-production/cms/guidance_docs/pdfs/000/000/477/original/CDP-Conversion-of-fuel-data-to-MWh.pdf?1479755175." xr:uid="{27FF9CB9-20A9-4A71-B1A1-063338601118}"/>
    <hyperlink ref="A67:AY67" r:id="rId2" display="available at: https://www.engineeringtoolbox.com/gasoline-density-specific-heat-dynamic-kinematic-viscosity-thermal-conductivity-vs-temperature-d_2224.html;" xr:uid="{DC963CA6-F723-4803-82F0-AFCB2ACA3C5D}"/>
    <hyperlink ref="A69:AY69" r:id="rId3" display="available at: https://atdmco.com/wiki-density-of-bitumen/;" xr:uid="{A23B6A95-8C61-41B0-8BBB-0478B875DCAA}"/>
    <hyperlink ref="A71" r:id="rId4" display="https://engineeringtoolbox.com/gas-density-d_158.html" xr:uid="{65209AF9-0551-4757-A1CA-8A4D1E0BB2D9}"/>
    <hyperlink ref="A73:AY73" r:id="rId5" display="avalable at: https://www.energuide.be/en/questions-answers/what-is-the-calorific-value-of-gas/9655/;" xr:uid="{5252A750-7A22-49F3-84CD-A9AB51C7B5C5}"/>
    <hyperlink ref="A75:AY75" r:id="rId6" display="available at: http://cyyenergy.com/en/Products/info_itemid_138.html;" xr:uid="{3D00E0B0-6C86-4B8F-801B-DD7B026CCC4C}"/>
    <hyperlink ref="A77:AY77" r:id="rId7" display="available at: https://op.europa.eu/en/publication-detail/-/publication/eaa047e8-644c-4149-bdcb-9dde79c64a12;" xr:uid="{84B89A79-4096-42BC-83DC-D6C99B415AA0}"/>
    <hyperlink ref="A78:AY78" r:id="rId8" display="https://www.bhel.com/sites/default/files/gas-properties-cog-1580716150.pdf" xr:uid="{1F106847-6153-4553-822D-3022773EB508}"/>
    <hyperlink ref="A80:AY80" r:id="rId9" display="available at: https://www.engineeringtoolbox.com/fuels-densities-specific-volumes-d_166.html;" xr:uid="{41D06FEC-5DAB-42F3-9929-25E74C8DA06C}"/>
    <hyperlink ref="A81" r:id="rId10" display="https://www.exxonmobil.com/en-bd/commercial-fuel/pds/gl-xx-jetfuel-series" xr:uid="{D656D139-C6D3-4BEC-8575-826FB2FBC89E}"/>
    <hyperlink ref="A83" r:id="rId11" location=":~:text=Commission%20Implementing%20Regulation%20(EU)%202018,(Text%20with%20EEA%20relevance.)" display="https://eur-lex.europa.eu/eli/reg_impl/2018/2066/oj/eng#:~:text=Commission%20Implementing%20Regulation%20(EU)%202018,(Text%20with%20EEA%20relevance.)" xr:uid="{1ED24B18-7FCB-4700-88CC-AAE69489AAC4}"/>
    <hyperlink ref="A86" r:id="rId12" display="https://www.researchgate.net/figure/Density-and-viscosity-of-shale-oil-in-Lucaogou-Formation-Jimsar-Sag_tbl1_336793871" xr:uid="{4637798D-6A05-4A1F-9F1D-FF57A037655D}"/>
    <hyperlink ref="A85" r:id="rId13" display="https://osf.io/s2qbt" xr:uid="{C86B1DF4-B636-4B95-9606-73CB895B78CF}"/>
    <hyperlink ref="A88" r:id="rId14" display="https://archive.epa.gov/emergencies/content/fss/web/pdf/orimuls.pdf" xr:uid="{4DF1924C-E295-46EB-BF49-A63F606125E0}"/>
    <hyperlink ref="A90" r:id="rId15" display="https://op.europa.eu/en/publication-detail/-/publication/eaa047e8-644c-4149-bdcb-9dde79c64a12" xr:uid="{9C54F48E-029C-4831-BAD5-B1AB08C9CEC9}"/>
    <hyperlink ref="A92" r:id="rId16" display="https://www.engineeringtoolbox.com/propane-C3H8-density-specific-weight-temperature-pressure-d_2033.html?vA=15&amp;degree" xr:uid="{6E30AE6A-F48F-482E-A161-54BEAF35FA4E}"/>
    <hyperlink ref="A94" r:id="rId17" display="https://eippcb.jrc.ec.europa.eu/sites/default/files/2020-03/superseded_ref_bref-0203.pdf" xr:uid="{A5C6181E-A3EE-4AE8-A412-196F41B36801}"/>
    <hyperlink ref="A96" r:id="rId18" display="http://www.ipcc-nggip.iges.or.jp/efdb/find_ef_ft.php" xr:uid="{AB4A9A02-50A6-492C-88FE-B739DEBB067D}"/>
    <hyperlink ref="A98" r:id="rId19" display="https://captainslog.gr/wp-content/uploads/2020/12/Sulphite-Lye-Cafn.pdf" xr:uid="{A8C41CAF-FB76-4A97-A3BF-20CB7E930F17}"/>
    <hyperlink ref="A100" r:id="rId20" display="https://iopscience.iop.org/article/10.1088/1757-899X/912/4/042075" xr:uid="{C8BD2AD6-3C40-4BE2-935D-7B67472A58DE}"/>
    <hyperlink ref="A102" r:id="rId21" display="https://www.engineeringtoolbox.com/fuels-higher-calorific-values-d_169.html" xr:uid="{C997A482-C9A4-48D6-873C-24831ABC3379}"/>
    <hyperlink ref="A104" r:id="rId22" display="https://ehs.cranesville.com/msds.pdfs/MSDS(U003).pdf" xr:uid="{DE395B1D-CB0A-4D92-8553-CC02992F8176}"/>
    <hyperlink ref="A106" r:id="rId23" xr:uid="{F4192789-20AE-44F4-976E-1B6EF793EB8A}"/>
    <hyperlink ref="A108" r:id="rId24" xr:uid="{F5D06771-81E7-4BBC-83EA-A9B7730857A6}"/>
  </hyperlinks>
  <pageMargins left="0.7" right="0.7" top="0.75" bottom="0.75" header="0.3" footer="0.3"/>
  <pageSetup paperSize="9" orientation="portrait" r:id="rId2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AF9C0-0E26-4EF2-94F7-834DCDFA296C}">
  <sheetPr codeName="Sheet8"/>
  <dimension ref="A1:AK138"/>
  <sheetViews>
    <sheetView zoomScaleNormal="100" workbookViewId="0">
      <selection activeCell="D22" sqref="D22"/>
    </sheetView>
  </sheetViews>
  <sheetFormatPr baseColWidth="10" defaultColWidth="9" defaultRowHeight="14.5" x14ac:dyDescent="0.35"/>
  <cols>
    <col min="2" max="2" width="19.453125" bestFit="1" customWidth="1"/>
    <col min="3" max="3" width="15.7265625" customWidth="1"/>
    <col min="4" max="4" width="43" customWidth="1"/>
    <col min="5" max="37" width="8.54296875" style="8"/>
  </cols>
  <sheetData>
    <row r="1" spans="1:7" s="8" customFormat="1" ht="15.5" thickTop="1" thickBot="1" x14ac:dyDescent="0.4">
      <c r="A1" s="1149" t="s">
        <v>4753</v>
      </c>
      <c r="B1" s="1150"/>
      <c r="C1" s="1151"/>
      <c r="G1" s="393" t="s">
        <v>4786</v>
      </c>
    </row>
    <row r="2" spans="1:7" s="8" customFormat="1" ht="15" thickTop="1" x14ac:dyDescent="0.35">
      <c r="A2" s="17"/>
      <c r="B2" s="17"/>
      <c r="C2" s="17"/>
      <c r="G2" s="394" t="s">
        <v>4683</v>
      </c>
    </row>
    <row r="3" spans="1:7" ht="15" thickBot="1" x14ac:dyDescent="0.4">
      <c r="A3" s="8"/>
      <c r="B3" s="8"/>
      <c r="C3" s="8"/>
      <c r="D3" s="8"/>
      <c r="G3" s="8" t="s">
        <v>4684</v>
      </c>
    </row>
    <row r="4" spans="1:7" ht="15" thickBot="1" x14ac:dyDescent="0.4">
      <c r="A4" s="1146" t="s">
        <v>4340</v>
      </c>
      <c r="B4" s="1147"/>
      <c r="C4" s="1147"/>
      <c r="D4" s="1147"/>
      <c r="E4" s="30"/>
      <c r="G4" s="8" t="s">
        <v>4685</v>
      </c>
    </row>
    <row r="5" spans="1:7" ht="15" thickBot="1" x14ac:dyDescent="0.4">
      <c r="A5" s="28" t="s">
        <v>4341</v>
      </c>
      <c r="B5" s="175"/>
      <c r="C5" s="29" t="s">
        <v>4342</v>
      </c>
      <c r="D5" s="175"/>
      <c r="G5" s="8" t="s">
        <v>4686</v>
      </c>
    </row>
    <row r="6" spans="1:7" ht="15" thickBot="1" x14ac:dyDescent="0.4">
      <c r="A6" s="8"/>
      <c r="B6" s="189"/>
      <c r="C6" s="8"/>
      <c r="D6" s="21" t="str">
        <f>IF(OR(B5="",B6="",D5=""),"-",
IF(AND(B5="g - gramme",D5="g - gramme"),B6*1,
IF(AND(B5="g - gramme",D5="kg - kilogramme"),B6*0.001,
IF(AND(B5="g - gramme",D5="t - tonne"),B6*0.000001,
IF(AND(B5="g - gramme",D5="Gg - gigagramme"),B6*0.000000001,
IF(AND(B5="kg - kilogramme",D5="g - gramme"),B6*1000,
IF(AND(B5="kg - kilogramme",D5="kg - kilogramme"),B6*1,
IF(AND(B5="kg - kilogramme",D5="t - tonne"),B6*0.001,
IF(AND(B5="kg - kilogramme",D5="Gg - gigagramme"),B6*0.000001,
IF(AND(B5="t - tonne",D5="g - gramme"),B6*1000000,
IF(AND(B5="t - tonne",D5="kg - kilogramme"),B6*1000,
IF(AND(B5="t - tonne",D5="t - tonne"),B6*1,
IF(AND(B5="t - tonne",D5="Gg - gigagramme"),B6*0.001,
IF(AND(B5="Gg - gigagramme",D5="g - gramme"),B6*1000000000,
IF(AND(B5="Gg - gigagramme",D5="kg - kilogramme"),B6*1000000,
IF(AND(B5="Gg - gigagramme",D5="t - tonne"),B6*1000,
IF(AND(B5="Gg - gigagramme",D5="Gg - gigagramme"),B6*1,
"")))))))))))))))))</f>
        <v>-</v>
      </c>
      <c r="G6" s="8" t="s">
        <v>4687</v>
      </c>
    </row>
    <row r="7" spans="1:7" s="8" customFormat="1" ht="15" thickBot="1" x14ac:dyDescent="0.4">
      <c r="G7" s="8" t="s">
        <v>4688</v>
      </c>
    </row>
    <row r="8" spans="1:7" s="8" customFormat="1" ht="15" thickBot="1" x14ac:dyDescent="0.4">
      <c r="A8" s="1146" t="s">
        <v>4343</v>
      </c>
      <c r="B8" s="1147"/>
      <c r="C8" s="1147"/>
      <c r="D8" s="1148"/>
      <c r="G8" s="395" t="s">
        <v>4689</v>
      </c>
    </row>
    <row r="9" spans="1:7" s="8" customFormat="1" ht="15" thickBot="1" x14ac:dyDescent="0.4">
      <c r="A9" s="28" t="s">
        <v>4341</v>
      </c>
      <c r="B9" s="175"/>
      <c r="C9" s="29" t="s">
        <v>4342</v>
      </c>
      <c r="D9" s="175"/>
      <c r="G9" s="395" t="s">
        <v>4691</v>
      </c>
    </row>
    <row r="10" spans="1:7" s="8" customFormat="1" ht="15" thickBot="1" x14ac:dyDescent="0.4">
      <c r="B10" s="189"/>
      <c r="D10" s="22" t="str">
        <f>IF(OR(B9="",B10="",D9=""),"-", IF(AND(B9="m³ - mètres cubes",D9="l - litre"),B10*1000,
IF(AND(B9="m³ - mètres cubes",D9="m³ - mètres cubes"),B10*1,
IF(AND(B9="l - litre",D9="m³ - mètres cubes"),B10*0.001,
IF(AND(B9="l - litre",D9="l - litre"),B10*1,
"")))))</f>
        <v>-</v>
      </c>
      <c r="G10" s="8" t="s">
        <v>4692</v>
      </c>
    </row>
    <row r="11" spans="1:7" s="8" customFormat="1" ht="15" thickBot="1" x14ac:dyDescent="0.4">
      <c r="B11" s="23"/>
      <c r="D11" s="23"/>
      <c r="G11" s="8" t="s">
        <v>4693</v>
      </c>
    </row>
    <row r="12" spans="1:7" s="8" customFormat="1" ht="15" customHeight="1" thickBot="1" x14ac:dyDescent="0.4">
      <c r="A12" s="1146" t="s">
        <v>4344</v>
      </c>
      <c r="B12" s="1147"/>
      <c r="C12" s="1147"/>
      <c r="D12" s="1148"/>
      <c r="G12" s="8" t="s">
        <v>4694</v>
      </c>
    </row>
    <row r="13" spans="1:7" s="8" customFormat="1" ht="15" thickBot="1" x14ac:dyDescent="0.4">
      <c r="A13" s="28" t="s">
        <v>4341</v>
      </c>
      <c r="B13" s="175"/>
      <c r="C13" s="29" t="s">
        <v>4342</v>
      </c>
      <c r="D13" s="175"/>
      <c r="G13" s="396" t="s">
        <v>4690</v>
      </c>
    </row>
    <row r="14" spans="1:7" s="8" customFormat="1" ht="17" thickBot="1" x14ac:dyDescent="0.4">
      <c r="B14" s="189"/>
      <c r="D14" s="21" t="str">
        <f>IF(OR(B13="",B14="",D13=""),"-",
IF(AND(B13="MWh - mégawattheures",D13="MWh - mégawattheures"),B14*1,
IF(AND(B13="TJ - térajoule",D13="TJ - térajoule"),B14*1,
IF(AND(B13="TJ - térajoule",D13="MWh - mégawattheures"),B14*277.778,
IF(AND(B13="MWh - mégawattheures",D13="MWh - mégawattheures"),B14/277.778,
"")))))</f>
        <v>-</v>
      </c>
      <c r="G14" s="8" t="s">
        <v>4695</v>
      </c>
    </row>
    <row r="15" spans="1:7" s="8" customFormat="1" ht="15" thickBot="1" x14ac:dyDescent="0.4">
      <c r="G15" s="8" t="s">
        <v>4696</v>
      </c>
    </row>
    <row r="16" spans="1:7" s="8" customFormat="1" ht="15" thickBot="1" x14ac:dyDescent="0.4">
      <c r="A16" s="1146" t="s">
        <v>4345</v>
      </c>
      <c r="B16" s="1147"/>
      <c r="C16" s="1147"/>
      <c r="D16" s="1148"/>
      <c r="G16" s="396" t="s">
        <v>4697</v>
      </c>
    </row>
    <row r="17" spans="1:7" s="8" customFormat="1" ht="15" thickBot="1" x14ac:dyDescent="0.4">
      <c r="A17" s="28" t="s">
        <v>4341</v>
      </c>
      <c r="B17" s="175"/>
      <c r="C17" s="29" t="s">
        <v>4342</v>
      </c>
      <c r="D17" s="175"/>
      <c r="G17" s="8" t="s">
        <v>4698</v>
      </c>
    </row>
    <row r="18" spans="1:7" s="8" customFormat="1" ht="15" thickBot="1" x14ac:dyDescent="0.4">
      <c r="B18" s="189"/>
      <c r="D18" s="21" t="str">
        <f>IF(OR(B17="",B16="",D17=""), "-", B18 * INDEX('Paramètres conversion combustib'!L2:S9, MATCH(B17, 'Paramètres conversion combustib'!K2:K9, 0), MATCH(D17, 'Paramètres conversion combustib'!L1:S1, 0)))</f>
        <v>-</v>
      </c>
      <c r="G18" s="8" t="s">
        <v>4699</v>
      </c>
    </row>
    <row r="19" spans="1:7" s="8" customFormat="1" ht="15" thickBot="1" x14ac:dyDescent="0.4">
      <c r="G19" s="395" t="s">
        <v>4700</v>
      </c>
    </row>
    <row r="20" spans="1:7" s="8" customFormat="1" ht="15" customHeight="1" thickBot="1" x14ac:dyDescent="0.4">
      <c r="A20" s="1146" t="s">
        <v>4346</v>
      </c>
      <c r="B20" s="1147"/>
      <c r="C20" s="1147"/>
      <c r="D20" s="1148"/>
      <c r="G20" s="8" t="s">
        <v>4701</v>
      </c>
    </row>
    <row r="21" spans="1:7" s="8" customFormat="1" ht="15" thickBot="1" x14ac:dyDescent="0.4">
      <c r="A21" s="28" t="s">
        <v>4341</v>
      </c>
      <c r="B21" s="175"/>
      <c r="C21" s="29" t="s">
        <v>4342</v>
      </c>
      <c r="D21" s="175"/>
      <c r="G21" s="8" t="s">
        <v>4708</v>
      </c>
    </row>
    <row r="22" spans="1:7" s="8" customFormat="1" ht="15" thickBot="1" x14ac:dyDescent="0.4">
      <c r="B22" s="189"/>
      <c r="D22" s="24" t="str">
        <f>IF(OR(B21="",B22="",D21=""), "-", B22 * INDEX('Paramètres conversion combustib'!V2:AK13, MATCH(B21, 'Paramètres conversion combustib'!U2:U13, 0), MATCH(D21, 'Paramètres conversion combustib'!V1:AK1, 0)))</f>
        <v>-</v>
      </c>
      <c r="G22" s="8" t="s">
        <v>4702</v>
      </c>
    </row>
    <row r="23" spans="1:7" s="8" customFormat="1" x14ac:dyDescent="0.35">
      <c r="G23" s="8" t="s">
        <v>4703</v>
      </c>
    </row>
    <row r="24" spans="1:7" s="8" customFormat="1" ht="16.5" x14ac:dyDescent="0.35">
      <c r="G24" s="8" t="s">
        <v>4704</v>
      </c>
    </row>
    <row r="25" spans="1:7" s="8" customFormat="1" ht="16.5" x14ac:dyDescent="0.35">
      <c r="G25" s="8" t="s">
        <v>4705</v>
      </c>
    </row>
    <row r="26" spans="1:7" s="8" customFormat="1" ht="16.5" x14ac:dyDescent="0.35">
      <c r="G26" s="8" t="s">
        <v>4706</v>
      </c>
    </row>
    <row r="27" spans="1:7" s="8" customFormat="1" ht="16.5" x14ac:dyDescent="0.35">
      <c r="G27" s="8" t="s">
        <v>4707</v>
      </c>
    </row>
    <row r="28" spans="1:7" s="8" customFormat="1" x14ac:dyDescent="0.35">
      <c r="G28" s="396" t="s">
        <v>4709</v>
      </c>
    </row>
    <row r="29" spans="1:7" s="8" customFormat="1" x14ac:dyDescent="0.35">
      <c r="G29" s="8" t="s">
        <v>4710</v>
      </c>
    </row>
    <row r="30" spans="1:7" s="8" customFormat="1" x14ac:dyDescent="0.35">
      <c r="G30" s="8" t="s">
        <v>4711</v>
      </c>
    </row>
    <row r="31" spans="1:7" s="8" customFormat="1" x14ac:dyDescent="0.35">
      <c r="G31" s="8" t="s">
        <v>4712</v>
      </c>
    </row>
    <row r="32" spans="1:7" s="8" customFormat="1" x14ac:dyDescent="0.35">
      <c r="G32" s="8" t="s">
        <v>4713</v>
      </c>
    </row>
    <row r="33" spans="7:7" s="8" customFormat="1" x14ac:dyDescent="0.35">
      <c r="G33" s="8" t="s">
        <v>4714</v>
      </c>
    </row>
    <row r="34" spans="7:7" s="8" customFormat="1" x14ac:dyDescent="0.35">
      <c r="G34" s="8" t="s">
        <v>4715</v>
      </c>
    </row>
    <row r="35" spans="7:7" s="8" customFormat="1" x14ac:dyDescent="0.35">
      <c r="G35" s="8" t="s">
        <v>4716</v>
      </c>
    </row>
    <row r="36" spans="7:7" s="8" customFormat="1" x14ac:dyDescent="0.35">
      <c r="G36" s="8" t="s">
        <v>4717</v>
      </c>
    </row>
    <row r="37" spans="7:7" s="8" customFormat="1" x14ac:dyDescent="0.35">
      <c r="G37" s="8" t="s">
        <v>4718</v>
      </c>
    </row>
    <row r="38" spans="7:7" s="8" customFormat="1" x14ac:dyDescent="0.35">
      <c r="G38" s="8" t="s">
        <v>4719</v>
      </c>
    </row>
    <row r="39" spans="7:7" s="8" customFormat="1" x14ac:dyDescent="0.35">
      <c r="G39" s="8" t="s">
        <v>4720</v>
      </c>
    </row>
    <row r="40" spans="7:7" s="8" customFormat="1" x14ac:dyDescent="0.35">
      <c r="G40" s="8" t="s">
        <v>4721</v>
      </c>
    </row>
    <row r="41" spans="7:7" s="8" customFormat="1" x14ac:dyDescent="0.35">
      <c r="G41" s="8" t="s">
        <v>4722</v>
      </c>
    </row>
    <row r="42" spans="7:7" s="8" customFormat="1" x14ac:dyDescent="0.35">
      <c r="G42" s="8" t="s">
        <v>4723</v>
      </c>
    </row>
    <row r="43" spans="7:7" s="8" customFormat="1" x14ac:dyDescent="0.35">
      <c r="G43" s="8" t="s">
        <v>4724</v>
      </c>
    </row>
    <row r="44" spans="7:7" s="8" customFormat="1" x14ac:dyDescent="0.35">
      <c r="G44" s="8" t="s">
        <v>4725</v>
      </c>
    </row>
    <row r="45" spans="7:7" s="8" customFormat="1" x14ac:dyDescent="0.35"/>
    <row r="46" spans="7:7" s="8" customFormat="1" x14ac:dyDescent="0.35"/>
    <row r="47" spans="7:7" s="8" customFormat="1" x14ac:dyDescent="0.35"/>
    <row r="48" spans="7:7" s="8" customFormat="1" x14ac:dyDescent="0.35"/>
    <row r="49" s="8" customFormat="1" x14ac:dyDescent="0.35"/>
    <row r="50" s="8" customFormat="1" x14ac:dyDescent="0.35"/>
    <row r="51" s="8" customFormat="1" x14ac:dyDescent="0.35"/>
    <row r="52" s="8" customFormat="1" x14ac:dyDescent="0.35"/>
    <row r="53" s="8" customFormat="1" x14ac:dyDescent="0.35"/>
    <row r="54" s="8" customFormat="1" x14ac:dyDescent="0.35"/>
    <row r="55" s="8" customFormat="1" x14ac:dyDescent="0.35"/>
    <row r="56" s="8" customFormat="1" x14ac:dyDescent="0.35"/>
    <row r="57" s="8" customFormat="1" x14ac:dyDescent="0.35"/>
    <row r="58" s="8" customFormat="1" x14ac:dyDescent="0.35"/>
    <row r="59" s="8" customFormat="1" x14ac:dyDescent="0.35"/>
    <row r="60" s="8" customFormat="1" x14ac:dyDescent="0.35"/>
    <row r="61" s="8" customFormat="1" x14ac:dyDescent="0.35"/>
    <row r="62" s="8" customFormat="1" x14ac:dyDescent="0.35"/>
    <row r="63" s="8" customFormat="1" x14ac:dyDescent="0.35"/>
    <row r="64" s="8" customFormat="1" x14ac:dyDescent="0.35"/>
    <row r="65" s="8" customFormat="1" x14ac:dyDescent="0.35"/>
    <row r="66" s="8" customFormat="1" x14ac:dyDescent="0.35"/>
    <row r="67" s="8" customFormat="1" x14ac:dyDescent="0.35"/>
    <row r="68" s="8" customFormat="1" x14ac:dyDescent="0.35"/>
    <row r="69" s="8" customFormat="1" x14ac:dyDescent="0.35"/>
    <row r="70" s="8" customFormat="1" x14ac:dyDescent="0.35"/>
    <row r="71" s="8" customFormat="1" x14ac:dyDescent="0.35"/>
    <row r="72" s="8" customFormat="1" x14ac:dyDescent="0.35"/>
    <row r="73" s="8" customFormat="1" x14ac:dyDescent="0.35"/>
    <row r="74" s="8" customFormat="1" x14ac:dyDescent="0.35"/>
    <row r="75" s="8" customFormat="1" x14ac:dyDescent="0.35"/>
    <row r="76" s="8" customFormat="1" x14ac:dyDescent="0.35"/>
    <row r="77" s="8" customFormat="1" x14ac:dyDescent="0.35"/>
    <row r="78" s="8" customFormat="1" x14ac:dyDescent="0.35"/>
    <row r="79" s="8" customFormat="1" x14ac:dyDescent="0.35"/>
    <row r="80" s="8" customFormat="1" x14ac:dyDescent="0.35"/>
    <row r="81" s="8" customFormat="1" x14ac:dyDescent="0.35"/>
    <row r="82" s="8" customFormat="1" x14ac:dyDescent="0.35"/>
    <row r="83" s="8" customFormat="1" x14ac:dyDescent="0.35"/>
    <row r="84" s="8" customFormat="1" x14ac:dyDescent="0.35"/>
    <row r="85" s="8" customFormat="1" x14ac:dyDescent="0.35"/>
    <row r="86" s="8" customFormat="1" x14ac:dyDescent="0.35"/>
    <row r="87" s="8" customFormat="1" x14ac:dyDescent="0.35"/>
    <row r="88" s="8" customFormat="1" x14ac:dyDescent="0.35"/>
    <row r="89" s="8" customFormat="1" x14ac:dyDescent="0.35"/>
    <row r="90" s="8" customFormat="1" x14ac:dyDescent="0.35"/>
    <row r="91" s="8" customFormat="1" x14ac:dyDescent="0.35"/>
    <row r="92" s="8" customFormat="1" x14ac:dyDescent="0.35"/>
    <row r="93" s="8" customFormat="1" x14ac:dyDescent="0.35"/>
    <row r="94" s="8" customFormat="1" x14ac:dyDescent="0.35"/>
    <row r="95" s="8" customFormat="1" x14ac:dyDescent="0.35"/>
    <row r="96" s="8" customFormat="1" x14ac:dyDescent="0.35"/>
    <row r="97" s="8" customFormat="1" x14ac:dyDescent="0.35"/>
    <row r="98" s="8" customFormat="1" x14ac:dyDescent="0.35"/>
    <row r="99" s="8" customFormat="1" x14ac:dyDescent="0.35"/>
    <row r="100" s="8" customFormat="1" x14ac:dyDescent="0.35"/>
    <row r="101" s="8" customFormat="1" x14ac:dyDescent="0.35"/>
    <row r="102" s="8" customFormat="1" x14ac:dyDescent="0.35"/>
    <row r="103" s="8" customFormat="1" x14ac:dyDescent="0.35"/>
    <row r="104" s="8" customFormat="1" x14ac:dyDescent="0.35"/>
    <row r="105" s="8" customFormat="1" x14ac:dyDescent="0.35"/>
    <row r="106" s="8" customFormat="1" x14ac:dyDescent="0.35"/>
    <row r="107" s="8" customFormat="1" x14ac:dyDescent="0.35"/>
    <row r="108" s="8" customFormat="1" x14ac:dyDescent="0.35"/>
    <row r="109" s="8" customFormat="1" x14ac:dyDescent="0.35"/>
    <row r="110" s="8" customFormat="1" x14ac:dyDescent="0.35"/>
    <row r="111" s="8" customFormat="1" x14ac:dyDescent="0.35"/>
    <row r="112" s="8" customFormat="1" x14ac:dyDescent="0.35"/>
    <row r="113" s="8" customFormat="1" x14ac:dyDescent="0.35"/>
    <row r="114" s="8" customFormat="1" x14ac:dyDescent="0.35"/>
    <row r="115" s="8" customFormat="1" x14ac:dyDescent="0.35"/>
    <row r="116" s="8" customFormat="1" x14ac:dyDescent="0.35"/>
    <row r="117" s="8" customFormat="1" x14ac:dyDescent="0.35"/>
    <row r="118" s="8" customFormat="1" x14ac:dyDescent="0.35"/>
    <row r="119" s="8" customFormat="1" x14ac:dyDescent="0.35"/>
    <row r="120" s="8" customFormat="1" x14ac:dyDescent="0.35"/>
    <row r="121" s="8" customFormat="1" x14ac:dyDescent="0.35"/>
    <row r="122" s="8" customFormat="1" x14ac:dyDescent="0.35"/>
    <row r="123" s="8" customFormat="1" x14ac:dyDescent="0.35"/>
    <row r="124" s="8" customFormat="1" x14ac:dyDescent="0.35"/>
    <row r="125" s="8" customFormat="1" x14ac:dyDescent="0.35"/>
    <row r="126" s="8" customFormat="1" x14ac:dyDescent="0.35"/>
    <row r="127" s="8" customFormat="1" x14ac:dyDescent="0.35"/>
    <row r="128" s="8" customFormat="1" x14ac:dyDescent="0.35"/>
    <row r="129" s="8" customFormat="1" x14ac:dyDescent="0.35"/>
    <row r="130" s="8" customFormat="1" x14ac:dyDescent="0.35"/>
    <row r="131" s="8" customFormat="1" x14ac:dyDescent="0.35"/>
    <row r="132" s="8" customFormat="1" x14ac:dyDescent="0.35"/>
    <row r="133" s="8" customFormat="1" x14ac:dyDescent="0.35"/>
    <row r="134" s="8" customFormat="1" x14ac:dyDescent="0.35"/>
    <row r="135" s="8" customFormat="1" x14ac:dyDescent="0.35"/>
    <row r="136" s="8" customFormat="1" x14ac:dyDescent="0.35"/>
    <row r="137" s="8" customFormat="1" x14ac:dyDescent="0.35"/>
    <row r="138" s="8" customFormat="1" x14ac:dyDescent="0.35"/>
  </sheetData>
  <sheetProtection formatColumns="0" formatRows="0"/>
  <mergeCells count="6">
    <mergeCell ref="A20:D20"/>
    <mergeCell ref="A1:C1"/>
    <mergeCell ref="A4:D4"/>
    <mergeCell ref="A8:D8"/>
    <mergeCell ref="A12:D12"/>
    <mergeCell ref="A16:D16"/>
  </mergeCells>
  <dataValidations count="7">
    <dataValidation type="list" operator="equal" allowBlank="1" showInputMessage="1" showErrorMessage="1" sqref="B13" xr:uid="{A9CD0C44-25C5-48B8-B7EE-63189813787D}">
      <formula1>enum_ListEnergy</formula1>
    </dataValidation>
    <dataValidation type="list" allowBlank="1" showInputMessage="1" showErrorMessage="1" sqref="B13 D13" xr:uid="{CDCA923B-F41E-402B-8B88-08D1452141EE}">
      <formula1>enum_ListEnergy</formula1>
    </dataValidation>
    <dataValidation type="list" allowBlank="1" showInputMessage="1" showErrorMessage="1" sqref="B21 D21" xr:uid="{D98D3F66-2EF1-4C62-9847-69576CCD1DFA}">
      <formula1>enum_ListNCV</formula1>
    </dataValidation>
    <dataValidation type="list" allowBlank="1" showInputMessage="1" showErrorMessage="1" sqref="B17 D17" xr:uid="{9C88730F-A2BD-4A7C-B477-57EC1635848C}">
      <formula1>enum_ListDensity</formula1>
    </dataValidation>
    <dataValidation type="decimal" operator="equal" allowBlank="1" showInputMessage="1" showErrorMessage="1" sqref="B6 B18 B22 B10:B12 B14" xr:uid="{3759D409-B1C7-4A30-BB86-3C7C72B2286F}">
      <formula1>B6</formula1>
    </dataValidation>
    <dataValidation type="list" allowBlank="1" showInputMessage="1" showErrorMessage="1" sqref="B5 D5" xr:uid="{A01119ED-108C-4BE8-A627-CC54046F0F25}">
      <formula1>enum_ListMass</formula1>
    </dataValidation>
    <dataValidation type="list" allowBlank="1" showInputMessage="1" showErrorMessage="1" sqref="D9 B9" xr:uid="{BAAEF948-B8C7-44A0-9A7F-849F797DA8B2}">
      <formula1>enum_ListVolume</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754CE3B07A0D84E95748A05302C39B1" ma:contentTypeVersion="3" ma:contentTypeDescription="Crée un document." ma:contentTypeScope="" ma:versionID="2d177cd2e727e271472f0d92dd76dd08">
  <xsd:schema xmlns:xsd="http://www.w3.org/2001/XMLSchema" xmlns:xs="http://www.w3.org/2001/XMLSchema" xmlns:p="http://schemas.microsoft.com/office/2006/metadata/properties" xmlns:ns2="6a152ce4-944f-4052-ab17-ce24115c0a4a" targetNamespace="http://schemas.microsoft.com/office/2006/metadata/properties" ma:root="true" ma:fieldsID="6c82fbfdd502599fbc2c0a52f0e14d5a" ns2:_="">
    <xsd:import namespace="6a152ce4-944f-4052-ab17-ce24115c0a4a"/>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152ce4-944f-4052-ab17-ce24115c0a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6AEBA6F-9411-4923-AA77-FC83D4C0025F}">
  <ds:schemaRefs>
    <ds:schemaRef ds:uri="http://schemas.microsoft.com/sharepoint/v3/contenttype/forms"/>
  </ds:schemaRefs>
</ds:datastoreItem>
</file>

<file path=customXml/itemProps2.xml><?xml version="1.0" encoding="utf-8"?>
<ds:datastoreItem xmlns:ds="http://schemas.openxmlformats.org/officeDocument/2006/customXml" ds:itemID="{F23942F3-16A5-4815-B8A9-F6DE569DC588}">
  <ds:schemaRefs>
    <ds:schemaRef ds:uri="http://schemas.microsoft.com/office/2006/documentManagement/types"/>
    <ds:schemaRef ds:uri="http://schemas.microsoft.com/office/2006/metadata/properties"/>
    <ds:schemaRef ds:uri="http://schemas.openxmlformats.org/package/2006/metadata/core-properties"/>
    <ds:schemaRef ds:uri="http://purl.org/dc/elements/1.1/"/>
    <ds:schemaRef ds:uri="http://www.w3.org/XML/1998/namespace"/>
    <ds:schemaRef ds:uri="http://purl.org/dc/terms/"/>
    <ds:schemaRef ds:uri="http://purl.org/dc/dcmitype/"/>
    <ds:schemaRef ds:uri="http://schemas.microsoft.com/office/infopath/2007/PartnerControls"/>
  </ds:schemaRefs>
</ds:datastoreItem>
</file>

<file path=customXml/itemProps3.xml><?xml version="1.0" encoding="utf-8"?>
<ds:datastoreItem xmlns:ds="http://schemas.openxmlformats.org/officeDocument/2006/customXml" ds:itemID="{F46B30DA-2823-4585-9551-8419D6D94CC0}"/>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12</vt:i4>
      </vt:variant>
      <vt:variant>
        <vt:lpstr>Plages nommées</vt:lpstr>
      </vt:variant>
      <vt:variant>
        <vt:i4>300</vt:i4>
      </vt:variant>
    </vt:vector>
  </HeadingPairs>
  <TitlesOfParts>
    <vt:vector size="312" baseType="lpstr">
      <vt:lpstr>Introduction</vt:lpstr>
      <vt:lpstr>Table des matières &amp; Validation</vt:lpstr>
      <vt:lpstr>Informations générales</vt:lpstr>
      <vt:lpstr>Informations environnementales</vt:lpstr>
      <vt:lpstr>Informations de gouvernance</vt:lpstr>
      <vt:lpstr>Informations sociales</vt:lpstr>
      <vt:lpstr>Convertisseur combustibles</vt:lpstr>
      <vt:lpstr>Paramètres conversion combustib</vt:lpstr>
      <vt:lpstr>Convertisseur unités de mesure</vt:lpstr>
      <vt:lpstr>Licence</vt:lpstr>
      <vt:lpstr>Listes</vt:lpstr>
      <vt:lpstr>Fiche technique</vt:lpstr>
      <vt:lpstr>AddressOfSite</vt:lpstr>
      <vt:lpstr>AmountOfEmissionsTable</vt:lpstr>
      <vt:lpstr>AmountOfEmissionToAir</vt:lpstr>
      <vt:lpstr>AmountOfEmissionToAir_unit</vt:lpstr>
      <vt:lpstr>AmountOfEmissionToSoil</vt:lpstr>
      <vt:lpstr>AmountOfEmissionToSoil_unit</vt:lpstr>
      <vt:lpstr>AmountOfEmissionToWater</vt:lpstr>
      <vt:lpstr>AmountOfEmissionToWater_unit</vt:lpstr>
      <vt:lpstr>AmountOfWaterWithdrawnAtSitesLocatedInAreasOfHighWaterStress</vt:lpstr>
      <vt:lpstr>AreaOfSiteInBiodiversitySensitiveArea</vt:lpstr>
      <vt:lpstr>AreaOfSiteInBiodiversitySensitiveArea_unit</vt:lpstr>
      <vt:lpstr>Assets</vt:lpstr>
      <vt:lpstr>AverageNumberOfAnnualTrainingHoursPerFemaleEmployee</vt:lpstr>
      <vt:lpstr>AverageNumberOfAnnualTrainingHoursPerMaleEmployee</vt:lpstr>
      <vt:lpstr>AverageNumberOfAnnualTrainingHoursPerNonReportedGenderEmployee</vt:lpstr>
      <vt:lpstr>AverageNumberOfAnnualTrainingHoursPerOtherGenderEmployee</vt:lpstr>
      <vt:lpstr>BaselineYearMember</vt:lpstr>
      <vt:lpstr>BasisForPreparation</vt:lpstr>
      <vt:lpstr>BasisForReporting</vt:lpstr>
      <vt:lpstr>BreakdownOfAnnualMassFlowOfRelevantMaterialsUsedByTheUndertakingHypercube</vt:lpstr>
      <vt:lpstr>BreakdownOfEnergyConsumptionAxis</vt:lpstr>
      <vt:lpstr>BreakdownOfEnergyConsumptionTable</vt:lpstr>
      <vt:lpstr>CityOfSite</vt:lpstr>
      <vt:lpstr>CountryOfEmploymentContractAxis</vt:lpstr>
      <vt:lpstr>CountryOfPrimaryOperationsAndLocationOfSignificantAssets</vt:lpstr>
      <vt:lpstr>CountryOfSite</vt:lpstr>
      <vt:lpstr>DateOfAdoptionOfTransitionPlanForUndertakingNotHavingAdoptedTransitionPlanYet</vt:lpstr>
      <vt:lpstr>DescriptionOfActionsTakeToAddressTheConfirmedIncidents</vt:lpstr>
      <vt:lpstr>DescriptionOfATargetRelatedToAPolicy</vt:lpstr>
      <vt:lpstr>DescriptionOfATransitionPlanForClimateChangeMitigationIncludingAnExplanationOfHowItIsContributingToReduceGhgEmissions</vt:lpstr>
      <vt:lpstr>DescriptionOfClimateRelatedHazardsAndClimateRelatedTransitionEvents</vt:lpstr>
      <vt:lpstr>DescriptionOfHowCircularEconomyPrinciplesAreApplied</vt:lpstr>
      <vt:lpstr>DescriptionOfKeyElementsOfStrategyThatRelatesToOrAffectsSustainabilityIssues</vt:lpstr>
      <vt:lpstr>DescriptionOfLimitsToTheDistributionOfProfitsConnectedToTheMutualisticNatureOrToTheNatureOfTheActivitiesConsistingInServicesOfGeneralEconomicInterestSGEI</vt:lpstr>
      <vt:lpstr>DescriptionOfMainBusinessRelationships</vt:lpstr>
      <vt:lpstr>DescriptionOfPracticesPoliciesAndOrFutureInitiatives</vt:lpstr>
      <vt:lpstr>DescriptionOfSignificantGroupsOfProductsAndOrServicesOffered</vt:lpstr>
      <vt:lpstr>DescriptionOfSignificantMarketsTheUndertakingOperatesIn</vt:lpstr>
      <vt:lpstr>DescriptionOfSustainabilityRelatedCertificationsOrLabels</vt:lpstr>
      <vt:lpstr>DescriptionOfTheEffectiveParticipationOfWorkersUsersOrOtherinterestedPartiesOrCommunitiesInGovernance</vt:lpstr>
      <vt:lpstr>DisclosureOfAnyOtherEnvironmentalAndOrEntitySpecificEnvironmentalDisclosures</vt:lpstr>
      <vt:lpstr>DisclosureOfAnyOtherGeneralAndOrEntitySpecificInformation</vt:lpstr>
      <vt:lpstr>DisclosureOfAnyOtherGovernanceAndOrEntitySpecificGovernanceDisclosures</vt:lpstr>
      <vt:lpstr>DisclosureOfAnyOtherSocialAndOrEntitySpecificSocialDisclosures</vt:lpstr>
      <vt:lpstr>DisclosureOfHowItHasAssessedTheExposureAndSensitivityOfItsAssetsActivitiesAndValueChainToTheseHazardsAndTransitionEvents</vt:lpstr>
      <vt:lpstr>DisclosureOfListOfMainActionsTheEntitySeeksInOrderToAchieveItsTargets</vt:lpstr>
      <vt:lpstr>DisclosureOfWhetherItHasUndertakenClimateChangeAdaptationActionsForAnyClimateRelatedHazardsAndTransitionEvents</vt:lpstr>
      <vt:lpstr>EmployeeCountingMethodology</vt:lpstr>
      <vt:lpstr>EmployeesReceivePayEqualOrAboveMinimumWageDeterminedByNationalLawOrCollectiveAgreement</vt:lpstr>
      <vt:lpstr>EmployeeTurnoverRate</vt:lpstr>
      <vt:lpstr>EnergyConsumptionFromElectricity_NonRenewableEnergyMember</vt:lpstr>
      <vt:lpstr>EnergyConsumptionFromElectricity_RenewableEnergyMember</vt:lpstr>
      <vt:lpstr>EnergyConsumptionFromElectricity_TotalRenewableAndNonRenewableEnergyMember</vt:lpstr>
      <vt:lpstr>EnergyConsumptionFromFuels_NonRenewableEnergyMember</vt:lpstr>
      <vt:lpstr>EnergyConsumptionFromFuels_RenewableEnergyMember</vt:lpstr>
      <vt:lpstr>EnergyConsumptionFromFuels_TotalRenewableAndNonRenewableEnergyMember</vt:lpstr>
      <vt:lpstr>EnergyConsumptionFromSelfGeneratedElectricity_NonRenewableEnergyMember</vt:lpstr>
      <vt:lpstr>EnergyConsumptionFromSelfGeneratedElectricity_RenewableEnergyMember</vt:lpstr>
      <vt:lpstr>EnergyConsumptionFromSelfGeneratedElectricity_TotalRenewableAndNonRenewableEnergyMember</vt:lpstr>
      <vt:lpstr>enum_B2</vt:lpstr>
      <vt:lpstr>enum_employee_methodology</vt:lpstr>
      <vt:lpstr>enum_ImplementationStatus</vt:lpstr>
      <vt:lpstr>enum_ListBiodiversityArea</vt:lpstr>
      <vt:lpstr>enum_ListCountiesCode</vt:lpstr>
      <vt:lpstr>enum_ListCountriesName</vt:lpstr>
      <vt:lpstr>enum_ListDays</vt:lpstr>
      <vt:lpstr>enum_ListDensity</vt:lpstr>
      <vt:lpstr>enum_ListEnergy</vt:lpstr>
      <vt:lpstr>enum_ListFuel</vt:lpstr>
      <vt:lpstr>enum_ListHectM2</vt:lpstr>
      <vt:lpstr>enum_ListIdentifier</vt:lpstr>
      <vt:lpstr>enum_ListLegalForms</vt:lpstr>
      <vt:lpstr>enum_ListMass</vt:lpstr>
      <vt:lpstr>enum_ListMediumOfRelease</vt:lpstr>
      <vt:lpstr>enum_ListMonth</vt:lpstr>
      <vt:lpstr>enum_ListNACECategories</vt:lpstr>
      <vt:lpstr>enum_ListNACECode</vt:lpstr>
      <vt:lpstr>enum_ListNACETechnicalName</vt:lpstr>
      <vt:lpstr>enum_ListNCV</vt:lpstr>
      <vt:lpstr>enum_ListOfCurrencies</vt:lpstr>
      <vt:lpstr>enum_ListOfFutureYears</vt:lpstr>
      <vt:lpstr>enum_ListOfPastYears</vt:lpstr>
      <vt:lpstr>enum_ListOmittedDisclosures</vt:lpstr>
      <vt:lpstr>enum_ListOmittedDisclosuresWithNone</vt:lpstr>
      <vt:lpstr>enum_ListPollutants</vt:lpstr>
      <vt:lpstr>enum_ListRenewabilityState</vt:lpstr>
      <vt:lpstr>enum_ListStateOfMatter</vt:lpstr>
      <vt:lpstr>enum_ListSustainabilityIssues</vt:lpstr>
      <vt:lpstr>enum_ListTypeOfWastes</vt:lpstr>
      <vt:lpstr>enum_ListUnitMeasurement</vt:lpstr>
      <vt:lpstr>enum_ListUnitMeasurement_mass_only</vt:lpstr>
      <vt:lpstr>enum_ListVolume</vt:lpstr>
      <vt:lpstr>enum_ListVolumeMass</vt:lpstr>
      <vt:lpstr>enum_ListWasteCategories</vt:lpstr>
      <vt:lpstr>enum_ListYear</vt:lpstr>
      <vt:lpstr>enum_ListYesNo</vt:lpstr>
      <vt:lpstr>FemaleToMaleRatioAtManagementLevelForTheReportingPeriod</vt:lpstr>
      <vt:lpstr>FinancialInvestmentInTheCapitalOrAssetsOfSocialEconomyEntities</vt:lpstr>
      <vt:lpstr>GenderDiversityRatioInGovernanceBody</vt:lpstr>
      <vt:lpstr>GPSLocationOfSite</vt:lpstr>
      <vt:lpstr>GreenhouseGasEmissionReductionTargetBaseYear</vt:lpstr>
      <vt:lpstr>GreenhouseGasEmissionReductionTargetYear</vt:lpstr>
      <vt:lpstr>GrossLocationBasedScope2GreenhouseGasEmissions</vt:lpstr>
      <vt:lpstr>GrossLocationBasedScope2GreenhouseGasEmissions_BaselineYearMember</vt:lpstr>
      <vt:lpstr>GrossLocationBasedScope2GreenhouseGasEmissions_TargetYearMember</vt:lpstr>
      <vt:lpstr>GrossMarketBasedScope2GreenhouseGasEmissions</vt:lpstr>
      <vt:lpstr>GrossMarketBasedScope2GreenhouseGasEmissions_BaselineYearMember</vt:lpstr>
      <vt:lpstr>GrossMarketBasedScope2GreenhouseGasEmissions_TargetYearMember</vt:lpstr>
      <vt:lpstr>GrossScope1GreenhouseGasEmissions</vt:lpstr>
      <vt:lpstr>GrossScope1GreenhouseGasEmissions_BaselineYearMember</vt:lpstr>
      <vt:lpstr>GrossScope1GreenhouseGasEmissions_TargetYearMember</vt:lpstr>
      <vt:lpstr>GrossScope3GreenhouseGasEmissions_BaselineYearMember</vt:lpstr>
      <vt:lpstr>GrossScope3GreenhouseGasEmissions_CurrentlyStatedMember</vt:lpstr>
      <vt:lpstr>GrossScope3GreenhouseGasEmissions_TargetYearMember</vt:lpstr>
      <vt:lpstr>IdentifierOfMaterialTypedAxis</vt:lpstr>
      <vt:lpstr>IdentifierOfSitesInBiodiversitySensitiveAreasTypedAxis</vt:lpstr>
      <vt:lpstr>IdentifierOfSiteTypedAxis</vt:lpstr>
      <vt:lpstr>IdentifierOfSubsidiaryTypedAxis</vt:lpstr>
      <vt:lpstr>LinkToPreviousReportContainingDisclosuresThatRemainUnchanged</vt:lpstr>
      <vt:lpstr>ListOfDisclosuresForWhichNoChangesAreReportedComparedToThePreviousPeriodReporting</vt:lpstr>
      <vt:lpstr>ListOfOmittedDisclosuresDeemedToBeClassifiedOrSensitiveInformation</vt:lpstr>
      <vt:lpstr>ListOfSitesTable</vt:lpstr>
      <vt:lpstr>ListOfSubsidiaryTable</vt:lpstr>
      <vt:lpstr>MostSeniorLevelAccountableForImplementationOfPracticesPoliciesAndOrFutureInitiatives</vt:lpstr>
      <vt:lpstr>NaceSectorClassificationCodes</vt:lpstr>
      <vt:lpstr>NameOfMaterialUsed</vt:lpstr>
      <vt:lpstr>NameOfTheSubsidiary</vt:lpstr>
      <vt:lpstr>NumberOfEmployees</vt:lpstr>
      <vt:lpstr>NumberOfEmployeesForCountryOfEmploymentContract</vt:lpstr>
      <vt:lpstr>NumberOfEmployeesForCountryOfEmploymentContractTable</vt:lpstr>
      <vt:lpstr>NumberOfFatalitiesAsAResultOfWorkRelatedInjuriesAndWorkRelatedIllHealth</vt:lpstr>
      <vt:lpstr>NumberOfFemaleEmployees</vt:lpstr>
      <vt:lpstr>NumberOfMaleEmployees</vt:lpstr>
      <vt:lpstr>NumberOfNonReportedGenderEmployees</vt:lpstr>
      <vt:lpstr>NumberOfOtherGenderEmployees</vt:lpstr>
      <vt:lpstr>NumberOfPermanentContactEmployees</vt:lpstr>
      <vt:lpstr>NumberOfRecordableWorkRelatedAccidentsInTheReportingPeriod</vt:lpstr>
      <vt:lpstr>NumberOfTemporaryContractEmployees</vt:lpstr>
      <vt:lpstr>OtherUndertakingsLegalForm</vt:lpstr>
      <vt:lpstr>PercentageGapInPayBetweenFemaleAndMaleEmployees</vt:lpstr>
      <vt:lpstr>PercentageOfEmployeesCoveredByCollectiveBargainingAgreements</vt:lpstr>
      <vt:lpstr>PostalCodeOfSite</vt:lpstr>
      <vt:lpstr>PotentialAdverseEffectsOfClimateRisksThatMayAffectItsFinancialPerformanceOrBusinessOperationsInTheShortMediumOrLongTermIndicatingWhetherItAssessesTheRisksToBeHighMediumOrLow</vt:lpstr>
      <vt:lpstr>PracticePolicyAndOrFutureInitiativeIsPubliclyAvailable</vt:lpstr>
      <vt:lpstr>PubliclyAvailableDisclosure</vt:lpstr>
      <vt:lpstr>RateOfRecordableWorkRelatedAccidentsInTheReportingPeriod</vt:lpstr>
      <vt:lpstr>RegisteredAddressOfTheSubsidiary</vt:lpstr>
      <vt:lpstr>ReportContainsDisclosuresFromThePreviousReportingPeriodThatRemainUnchanged</vt:lpstr>
      <vt:lpstr>RevenueDerivedFromChemicalProduction</vt:lpstr>
      <vt:lpstr>RevenueDerivedFromCoal</vt:lpstr>
      <vt:lpstr>RevenueDerivedFromControversialWeaponsAntiPersonnelMinesClusterMunitionsChemicalWeaponsAndBiologicalWeapons</vt:lpstr>
      <vt:lpstr>RevenueDerivedFromCultivationAndProductionOfTobacco</vt:lpstr>
      <vt:lpstr>RevenueDerivedFromGas</vt:lpstr>
      <vt:lpstr>RevenueDerivedFromOil</vt:lpstr>
      <vt:lpstr>Scope1AndScope2GreenhouseGasEmissionsIntensityValueLocationBased</vt:lpstr>
      <vt:lpstr>Scope1AndScope2GreenhouseGasEmissionsIntensityValueMarketBased</vt:lpstr>
      <vt:lpstr>SiteLocatedInABiodiversitySensitiveArea</vt:lpstr>
      <vt:lpstr>SiteLocatedNearABiodiversitySensitiveArea</vt:lpstr>
      <vt:lpstr>SitesInBiodiversitySensitiveAreasTable</vt:lpstr>
      <vt:lpstr>SpecificationOfAnyConfirmedIncidentInvolvingWorkersInTheValueChainAffectedCommunitiesConsumersAndEndUsers</vt:lpstr>
      <vt:lpstr>SpecificationOfOtherHumanRightsRelatedToTheConfirmedIncident</vt:lpstr>
      <vt:lpstr>SpecificationOfOtherTypesOfContentCoveredByTheCodeOfConductOrHumanRightsPolicy</vt:lpstr>
      <vt:lpstr>SustainabilityIssueAddressedByPracticePolicyAndOrFutureInitiative</vt:lpstr>
      <vt:lpstr>TargetYearMember</vt:lpstr>
      <vt:lpstr>template_b1_basis_for_preparation_and_other_undertakings_general_information</vt:lpstr>
      <vt:lpstr>template_b1_disclosure_of_sustainability_related_certifications_or_labels</vt:lpstr>
      <vt:lpstr>template_b1_list_of_sites</vt:lpstr>
      <vt:lpstr>template_b1_list_of_subsidiaries</vt:lpstr>
      <vt:lpstr>template_b10_workforce_remuneration_collective_bargaining_and_training</vt:lpstr>
      <vt:lpstr>template_b11_convictions_and_fines_for_corruption_and_bribery</vt:lpstr>
      <vt:lpstr>template_b2_cooperative_specific_disclosures</vt:lpstr>
      <vt:lpstr>template_b2_practices_policies_and_future_initiatives_for_transitioning_towards_a_more_sustainable_economy</vt:lpstr>
      <vt:lpstr>template_b3_breakdown_of_energy_consumption_in_MWh</vt:lpstr>
      <vt:lpstr>template_b3_estimated_greenhouse_gas_emissions_considering_the_GHG_protocol_version_2004_in_tCO2e</vt:lpstr>
      <vt:lpstr>template_b3_greenhouse_gas_emission_intensity_per_turnover</vt:lpstr>
      <vt:lpstr>template_b3_total_energy_consumption_in_MWh</vt:lpstr>
      <vt:lpstr>template_b4_pollution_of_air_water_and_soil</vt:lpstr>
      <vt:lpstr>template_b5_biodiversity_land_use</vt:lpstr>
      <vt:lpstr>template_b5_sites_in_biodiversity_sensitive_areas</vt:lpstr>
      <vt:lpstr>template_b6_water_consumption</vt:lpstr>
      <vt:lpstr>template_b6_water_withdrawal</vt:lpstr>
      <vt:lpstr>template_b7_annual_mass_flow_of_relevant_materials_used</vt:lpstr>
      <vt:lpstr>template_b7_description_of_circular_economy_principles</vt:lpstr>
      <vt:lpstr>template_b7_waste_generated</vt:lpstr>
      <vt:lpstr>template_b8_workforce_general_characteristics_country_of_employment</vt:lpstr>
      <vt:lpstr>template_b8_workforce_general_characteristics_gender</vt:lpstr>
      <vt:lpstr>template_b8_workforce_general_characteristics_turnover_rate</vt:lpstr>
      <vt:lpstr>template_b8_workforce_general_characteristics_type_of_contract</vt:lpstr>
      <vt:lpstr>template_b9_workforce_health_and_safety</vt:lpstr>
      <vt:lpstr>template_c1_strategy_business_model_and_sustainability</vt:lpstr>
      <vt:lpstr>template_c2_description_of_practices_policies_and_future_initiatives_for_transitioning_towards_a_more_sustainable_economy</vt:lpstr>
      <vt:lpstr>template_c3_disclosure_of_list_of_main_actions_the_entity_seeks_in_order_to_achieve_its_targets</vt:lpstr>
      <vt:lpstr>template_c3_GHG_reduction_targets_in_tC02e</vt:lpstr>
      <vt:lpstr>template_c3_transition_plan_for_undertakings_operating_in_high_climate_impact_sectors</vt:lpstr>
      <vt:lpstr>template_c4_climate_risks</vt:lpstr>
      <vt:lpstr>template_c5_additional_general_workforce_characteristics</vt:lpstr>
      <vt:lpstr>template_c6_additional_own_workforce_information_human_rights_policies_and_processes</vt:lpstr>
      <vt:lpstr>template_c7_severe_negative_human_rights_incidents</vt:lpstr>
      <vt:lpstr>template_c8_exclusion_from_EU_reference_benchmarks</vt:lpstr>
      <vt:lpstr>template_c8_revenues_from_certain_sectors</vt:lpstr>
      <vt:lpstr>template_c9_gender_diversity_ratio_in_the_governance_body</vt:lpstr>
      <vt:lpstr>template_currency</vt:lpstr>
      <vt:lpstr>template_disclosure_of_any_other_environmental_and_or_entity_specific_enviromental_disclosures</vt:lpstr>
      <vt:lpstr>template_disclosure_of_any_other_general_and_or_entity_specific_information_on_the_reporting_period</vt:lpstr>
      <vt:lpstr>template_disclosure_of_any_other_governance_and_or_entity_specific_governance_disclosures</vt:lpstr>
      <vt:lpstr>template_disclosure_of_any_other_social_and_or_entity_specific_social_disclosures</vt:lpstr>
      <vt:lpstr>template_ending_date_display</vt:lpstr>
      <vt:lpstr>template_FUEL_CONVERTER</vt:lpstr>
      <vt:lpstr>template_further_notes</vt:lpstr>
      <vt:lpstr>template_information_on_previous_reporting_period</vt:lpstr>
      <vt:lpstr>template_information_on_the_report_necessary_for_XBRL</vt:lpstr>
      <vt:lpstr>template_overall_validation_status</vt:lpstr>
      <vt:lpstr>template_reporting_entity_identifier</vt:lpstr>
      <vt:lpstr>template_reporting_entity_identifier_scheme</vt:lpstr>
      <vt:lpstr>template_reporting_entity_name</vt:lpstr>
      <vt:lpstr>template_reporting_period_display</vt:lpstr>
      <vt:lpstr>template_reporting_period_enddate</vt:lpstr>
      <vt:lpstr>template_reporting_period_startdate</vt:lpstr>
      <vt:lpstr>template_reporting_schemaRef</vt:lpstr>
      <vt:lpstr>template_reporting_template_version</vt:lpstr>
      <vt:lpstr>TimeHorizonsOfAnyClimateRelatedHazardsAndTransitionEventsIdentified</vt:lpstr>
      <vt:lpstr>TotalAmountOfFinesForTheViolationOfAnticorruptionAndAntibriberyLaws</vt:lpstr>
      <vt:lpstr>TotalAmountOfWaterWithdrawnFromAllSites</vt:lpstr>
      <vt:lpstr>TotalEnergyConsumption</vt:lpstr>
      <vt:lpstr>TotalGrossLocationBasedGHGEmissions_BaselineYearMember</vt:lpstr>
      <vt:lpstr>TotalGrossLocationBasedGHGEmissions_CurrentlyStatedMember</vt:lpstr>
      <vt:lpstr>TotalGrossLocationBasedGHGEmissions_TargetYearMember</vt:lpstr>
      <vt:lpstr>TotalGrossLocationBasedScope1AndScope2GHGEmissions</vt:lpstr>
      <vt:lpstr>TotalGrossLocationBasedScope1AndScope2GHGEmissions_BaselineYearMember</vt:lpstr>
      <vt:lpstr>TotalGrossLocationBasedScope1AndScope2GHGEmissions_TargetYearMember</vt:lpstr>
      <vt:lpstr>TotalGrossMarketBasedGHGEmissions_BaselineYearMember</vt:lpstr>
      <vt:lpstr>TotalGrossMarketBasedGHGEmissions_CurrentlyStatedMember</vt:lpstr>
      <vt:lpstr>TotalGrossMarketBasedGHGEmissions_TargetYearMember</vt:lpstr>
      <vt:lpstr>TotalGrossMarketBasedScope1AndScope2GHGEmissions</vt:lpstr>
      <vt:lpstr>TotalGrossMarketBasedScope1AndScope2GHGEmissions_BaselineYearMember</vt:lpstr>
      <vt:lpstr>TotalGrossMarketBasedScope1AndScope2GHGEmissions_TargetYearMember</vt:lpstr>
      <vt:lpstr>TotalHazardousWasteGeneratedMass</vt:lpstr>
      <vt:lpstr>TotalHazardousWasteGeneratedMass_unit</vt:lpstr>
      <vt:lpstr>TotalHazardousWasteGeneratedVolume</vt:lpstr>
      <vt:lpstr>TotalHazardousWasteGeneratedVolume_unit</vt:lpstr>
      <vt:lpstr>TotalLocationBasedGreenhouseGasEmissionsIntensityValue</vt:lpstr>
      <vt:lpstr>TotalMarketBasedGreenhouseGasEmissionsIntensityValue</vt:lpstr>
      <vt:lpstr>TotalMassOfMaterialUsed</vt:lpstr>
      <vt:lpstr>TotalMassOfMaterialUsed_unit</vt:lpstr>
      <vt:lpstr>TotalNatureOrientedAreaOffSite</vt:lpstr>
      <vt:lpstr>TotalNatureOrientedAreaOffSite_unit</vt:lpstr>
      <vt:lpstr>TotalNatureOrientedAreaOnSite</vt:lpstr>
      <vt:lpstr>TotalNatureOrientedAreaOnSite_unit</vt:lpstr>
      <vt:lpstr>TotalNonHazardousWasteGeneratedMass</vt:lpstr>
      <vt:lpstr>TotalNonHazardousWasteGeneratedMass_unit</vt:lpstr>
      <vt:lpstr>TotalNonHazardousWasteGeneratedVolume</vt:lpstr>
      <vt:lpstr>TotalNonHazardousWasteGeneratedVolume_unit</vt:lpstr>
      <vt:lpstr>TotalNumberOfConvictionsForTheViolationOfAntiCorruptionAndAntiBriberyLaws</vt:lpstr>
      <vt:lpstr>TotalNumberOfSelfEmployedWorkersWithoutPersonnelThatAreWorkingExclusivelyForTheUndertaking</vt:lpstr>
      <vt:lpstr>TotalNumberOfTemporaryWorkersProvidedByUndertakingsPrimarilyEngagedInEmploymentActivities</vt:lpstr>
      <vt:lpstr>TotalRevenuesDerivedFromFossilFuelCoalOilAndGasSector</vt:lpstr>
      <vt:lpstr>TotalSealedArea</vt:lpstr>
      <vt:lpstr>TotalSealedArea_unit</vt:lpstr>
      <vt:lpstr>TotalUseOfLand</vt:lpstr>
      <vt:lpstr>TotalUseOfLand_unit</vt:lpstr>
      <vt:lpstr>TotalVolumeOfMaterialUsed</vt:lpstr>
      <vt:lpstr>TotalVolumeOfMaterialUsed_unit</vt:lpstr>
      <vt:lpstr>TotalWasteGeneratedMass</vt:lpstr>
      <vt:lpstr>TotalWasteGeneratedMass_unit</vt:lpstr>
      <vt:lpstr>TotalWasteGeneratedVolume</vt:lpstr>
      <vt:lpstr>TotalWasteGeneratedVolume_unit</vt:lpstr>
      <vt:lpstr>TotalWasteRecycledReusedAndDirectedToDisposalMass</vt:lpstr>
      <vt:lpstr>TotalWasteRecycledReusedAndDirectedToDisposalMass_unit</vt:lpstr>
      <vt:lpstr>TotalWasteRecycledReusedAndDirectedToDisposalVolume</vt:lpstr>
      <vt:lpstr>TotalWasteRecycledReusedAndDirectedToDisposalVolume_unit</vt:lpstr>
      <vt:lpstr>TotalWaterConsumption</vt:lpstr>
      <vt:lpstr>Turnover</vt:lpstr>
      <vt:lpstr>TypeOfContentCoveredByTheCodeOfConductOrHumanRightsPolicyForItsOwnWorkforce</vt:lpstr>
      <vt:lpstr>TypeOfHumanRightRelatedToTheConfirmedIncident</vt:lpstr>
      <vt:lpstr>TypeOfNumberOfEmployees</vt:lpstr>
      <vt:lpstr>TypeOfPollutantAxis</vt:lpstr>
      <vt:lpstr>TypeOfWasteAxis</vt:lpstr>
      <vt:lpstr>UndertakingAppliesCircularEconomyPrinciples</vt:lpstr>
      <vt:lpstr>UndertakingHasACodeOfConductOrHumanRightsPolicyForItsOwnWorkforce</vt:lpstr>
      <vt:lpstr>UndertakingHasAComplaintHandlingMechanismForItsOwnWorkforce</vt:lpstr>
      <vt:lpstr>UndertakingHasConfirmedHumanRightsIncidentsInItsOwnWorkforce</vt:lpstr>
      <vt:lpstr>UndertakingHasSetATargetWhichIsRelatedToAPolicy</vt:lpstr>
      <vt:lpstr>UndertakingIsAwareOfAnyConfirmedIncidentsInvolvingWorkersInTheValueChainAffectedCommunitiesConsumersAndEndUsers</vt:lpstr>
      <vt:lpstr>UndertakingsAreExcludedFromAnyEuReferenceBenchmarksThatAreAlignedWithTheParisAgreement</vt:lpstr>
      <vt:lpstr>UndertakingsLegalForm</vt:lpstr>
      <vt:lpstr>URLOrLinkToThePubliclyAvailableDisclosure</vt:lpstr>
      <vt:lpstr>VolumeOfMaterialUsed</vt:lpstr>
      <vt:lpstr>VolumeOfMaterialUsed_unit</vt:lpstr>
      <vt:lpstr>WasteDirectedToDisposalMass</vt:lpstr>
      <vt:lpstr>WasteDirectedToDisposalMass_unit</vt:lpstr>
      <vt:lpstr>WasteDirectedToDisposalVolume</vt:lpstr>
      <vt:lpstr>WasteDirectedToDisposalVolume_unit</vt:lpstr>
      <vt:lpstr>WasteDivertedToRecycleOrReuseMass</vt:lpstr>
      <vt:lpstr>WasteDivertedToRecycleOrReuseMass_unit</vt:lpstr>
      <vt:lpstr>WasteDivertedToRecycleOrReuseVolume</vt:lpstr>
      <vt:lpstr>WasteDivertedToRecycleOrReuseVolume_unit</vt:lpstr>
      <vt:lpstr>WasteTable</vt:lpstr>
      <vt:lpstr>WaterDischargeFromUndertakingProductionProcesses</vt:lpstr>
      <vt:lpstr>WeightOfMaterialUsed</vt:lpstr>
      <vt:lpstr>WeightOfMaterialUsed_unit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Richard Boessen</dc:creator>
  <cp:keywords/>
  <dc:description/>
  <cp:lastModifiedBy>Benjamin DEVILLE</cp:lastModifiedBy>
  <cp:revision/>
  <dcterms:created xsi:type="dcterms:W3CDTF">2025-01-13T10:12:12Z</dcterms:created>
  <dcterms:modified xsi:type="dcterms:W3CDTF">2025-10-03T12:58:33Z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0x0101002754CE3B07A0D84E95748A05302C39B1</vt:lpwstr>
  </property>
  <property fmtid="{D5CDD505-2E9C-101B-9397-08002B2CF9AE}" pid="3" name="efclTopics">
    <vt:lpwstr/>
  </property>
  <property fmtid="{D5CDD505-2E9C-101B-9397-08002B2CF9AE}" pid="4" name="efclDocumentType">
    <vt:lpwstr/>
  </property>
  <property fmtid="{D5CDD505-2E9C-101B-9397-08002B2CF9AE}" pid="5" name="efclStandards">
    <vt:lpwstr/>
  </property>
  <property fmtid="{D5CDD505-2E9C-101B-9397-08002B2CF9AE}" pid="6" name="efclProjectStage">
    <vt:lpwstr/>
  </property>
</Properties>
</file>